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740" activeTab="1"/>
  </bookViews>
  <sheets>
    <sheet name="Soft Costs" sheetId="1" r:id="rId1"/>
    <sheet name="pro forma" sheetId="2" r:id="rId2"/>
    <sheet name="Amort Table" sheetId="3" r:id="rId3"/>
    <sheet name="Unit table" sheetId="4" r:id="rId4"/>
  </sheets>
  <definedNames>
    <definedName name="_xlfn.SINGLE" hidden="1">#NAME?</definedName>
  </definedNames>
  <calcPr fullCalcOnLoad="1"/>
</workbook>
</file>

<file path=xl/sharedStrings.xml><?xml version="1.0" encoding="utf-8"?>
<sst xmlns="http://schemas.openxmlformats.org/spreadsheetml/2006/main" count="520" uniqueCount="369">
  <si>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</si>
  <si>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</si>
  <si>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</si>
  <si>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</si>
  <si>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</si>
  <si>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</si>
  <si>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</si>
  <si>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</si>
  <si>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</si>
  <si>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</si>
  <si>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</si>
  <si>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</si>
  <si>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</si>
  <si>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</si>
  <si>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</si>
  <si>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</si>
  <si>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</si>
  <si>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</si>
  <si>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</si>
  <si>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</si>
  <si>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</si>
  <si>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</si>
  <si>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</si>
  <si>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</si>
  <si>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</si>
  <si>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</si>
  <si>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</si>
  <si>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Other</t>
  </si>
  <si>
    <t>Total</t>
  </si>
  <si>
    <t>Architecture &amp; Engineering Fees:</t>
  </si>
  <si>
    <t>Architecture/Engineering Services*</t>
  </si>
  <si>
    <t>Construction Phase Services</t>
  </si>
  <si>
    <t>Incl.</t>
  </si>
  <si>
    <t>Geotechnical Inspections</t>
  </si>
  <si>
    <t>in Pre-Dev</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</si>
  <si>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</si>
  <si>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</si>
  <si>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</si>
  <si>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</si>
  <si>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</si>
  <si>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</si>
  <si>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</si>
  <si>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</si>
  <si>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</si>
  <si>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</si>
  <si>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</si>
  <si>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</si>
  <si>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</si>
  <si>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</si>
  <si>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</si>
  <si>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</si>
  <si>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</si>
  <si>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</si>
  <si>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</si>
  <si>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</si>
  <si>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</si>
  <si>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</si>
  <si>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</si>
  <si>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</si>
  <si>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r>
      <rPr>
        <u val="single"/>
        <sz val="10"/>
        <color indexed="13"/>
        <rFont val="Arial"/>
        <family val="2"/>
      </rPr>
      <t>http://www.portlandtransportation.org/SystemDevelopmentCharge/Rates.htm</t>
    </r>
  </si>
  <si>
    <t>PDOT SDC Fees</t>
  </si>
  <si>
    <t>Per commercial sq. ft.</t>
  </si>
  <si>
    <t>sq. ft</t>
  </si>
  <si>
    <r>
      <rPr>
        <u val="single"/>
        <sz val="10"/>
        <color indexed="13"/>
        <rFont val="Arial"/>
        <family val="2"/>
      </rPr>
      <t>http://www.portlandparks.org/Planning/SystemDevCharge.htm</t>
    </r>
  </si>
  <si>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</si>
  <si>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</si>
  <si>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</si>
  <si>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</si>
  <si>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</si>
  <si>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</si>
  <si>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</si>
  <si>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</si>
  <si>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</si>
  <si>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</si>
  <si>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</si>
  <si>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</si>
  <si>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Construction Period Interest (Annual Debt Service)</t>
  </si>
  <si>
    <t>http://www.portlandmaps.com/</t>
  </si>
  <si>
    <t>Development Period Property Taxes</t>
  </si>
  <si>
    <t>Permanent Financing Fees &amp; Costs:</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</si>
  <si>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</si>
  <si>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</si>
  <si>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</si>
  <si>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</si>
  <si>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</si>
  <si>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</si>
  <si>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</si>
  <si>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</si>
  <si>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</si>
  <si>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TOTAL DEVELOPMENT COSTS</t>
  </si>
  <si>
    <t>PROJECT FACTS:</t>
  </si>
  <si>
    <t>CONSTRUCTION LOAN</t>
  </si>
  <si>
    <t>Site Area</t>
  </si>
  <si>
    <t>Interest Rate</t>
  </si>
  <si>
    <t>spaces</t>
  </si>
  <si>
    <t>Term (Months)</t>
  </si>
  <si>
    <t>lofts</t>
  </si>
  <si>
    <t>Construction/Perm Loan</t>
  </si>
  <si>
    <t>Drawdown Factor</t>
  </si>
  <si>
    <t>portion of a year</t>
  </si>
  <si>
    <t>Annual Debt Service</t>
  </si>
  <si>
    <t>total lofts</t>
  </si>
  <si>
    <t>Load</t>
  </si>
  <si>
    <t>PERMANENT FINANCING ASSUMPTIONS</t>
  </si>
  <si>
    <t>Total Tenants</t>
  </si>
  <si>
    <t>DCR</t>
  </si>
  <si>
    <t>GROSS BUILDING AREA</t>
  </si>
  <si>
    <t>Loan Amount</t>
  </si>
  <si>
    <t>TOTAL NET LEASABLE</t>
  </si>
  <si>
    <t>Overall Efficiency</t>
  </si>
  <si>
    <t>Term (Years)</t>
  </si>
  <si>
    <t xml:space="preserve">Retail Rent/ s.f.                       </t>
  </si>
  <si>
    <t>sq.ft./mth</t>
  </si>
  <si>
    <t>Debt-Coverage Ratio</t>
  </si>
  <si>
    <t>Project Value</t>
  </si>
  <si>
    <t>Residential Ratio</t>
  </si>
  <si>
    <t>Stabilized NOI</t>
  </si>
  <si>
    <t>CAP Rate</t>
  </si>
  <si>
    <t>Supportable Mortgage</t>
  </si>
  <si>
    <t>Supportable Debt Service</t>
  </si>
  <si>
    <t>PROJECT COSTS</t>
  </si>
  <si>
    <t>Initial Value</t>
  </si>
  <si>
    <t xml:space="preserve">sq.ft. </t>
  </si>
  <si>
    <t>CAPITAL STACK</t>
  </si>
  <si>
    <t>Building Hard Costs</t>
  </si>
  <si>
    <t>TOTAL DEVELOPMENT COST</t>
  </si>
  <si>
    <t xml:space="preserve">Building  </t>
  </si>
  <si>
    <t>sq.ft.</t>
  </si>
  <si>
    <t>(-) Permanent Financing</t>
  </si>
  <si>
    <t>Hard Cost Contingency</t>
  </si>
  <si>
    <t>of hd costs</t>
  </si>
  <si>
    <t>(-) Land Equity</t>
  </si>
  <si>
    <t>Pre-Dev Consultants</t>
  </si>
  <si>
    <t>Architecture &amp; Engineering</t>
  </si>
  <si>
    <t>Development Fees</t>
  </si>
  <si>
    <t xml:space="preserve">of total </t>
  </si>
  <si>
    <t>(-) PDC Grant</t>
  </si>
  <si>
    <t>DOS</t>
  </si>
  <si>
    <t>Permit Fees</t>
  </si>
  <si>
    <t>(-) Architecture Equity</t>
  </si>
  <si>
    <t>Legal &amp; Accounting</t>
  </si>
  <si>
    <t>(-) Leasing Equity</t>
  </si>
  <si>
    <t xml:space="preserve">Construction Financing &amp; Carrying </t>
  </si>
  <si>
    <t>(-) Investors</t>
  </si>
  <si>
    <t>Permanent Financing</t>
  </si>
  <si>
    <t>GAP/Reserve</t>
  </si>
  <si>
    <t>Leasing</t>
  </si>
  <si>
    <t>NET OPERATING INCOME</t>
  </si>
  <si>
    <t>Total Soft Costs</t>
  </si>
  <si>
    <t xml:space="preserve">sq. ft. </t>
  </si>
  <si>
    <t>(-) MORTGAGE</t>
  </si>
  <si>
    <t>TOTAL PROJECT COST</t>
  </si>
  <si>
    <t>NET CASH FLOW</t>
  </si>
  <si>
    <t>Cash-to-Cost Ratio</t>
  </si>
  <si>
    <t>OPERATING PRO FORMA (PER YEAR)</t>
  </si>
  <si>
    <t>OWNERSHIP BREAKDOWN</t>
  </si>
  <si>
    <t>Gross Retail Income</t>
  </si>
  <si>
    <t>ownership</t>
  </si>
  <si>
    <t>Kevin</t>
  </si>
  <si>
    <t>YR 1</t>
  </si>
  <si>
    <t>YR 2</t>
  </si>
  <si>
    <t>YR 3</t>
  </si>
  <si>
    <t>YR 4</t>
  </si>
  <si>
    <t>YR 5</t>
  </si>
  <si>
    <t>YR 6</t>
  </si>
  <si>
    <t>YR 7</t>
  </si>
  <si>
    <t>YR 8</t>
  </si>
  <si>
    <t>YR 9</t>
  </si>
  <si>
    <t>YR 10</t>
  </si>
  <si>
    <t>Not Preferred</t>
  </si>
  <si>
    <t>Total Gross Rents</t>
  </si>
  <si>
    <t xml:space="preserve">(-) Vacancy </t>
  </si>
  <si>
    <t xml:space="preserve">(-) Fire Insurance </t>
  </si>
  <si>
    <t>Lofts Only</t>
  </si>
  <si>
    <t>(-) Taxes</t>
  </si>
  <si>
    <t>(-) Utilities and Trash</t>
  </si>
  <si>
    <t>Expenses (3% escalator)</t>
  </si>
  <si>
    <t>(-) Repairs &amp; Maintenance</t>
  </si>
  <si>
    <t>(-) Replacement Reserves</t>
  </si>
  <si>
    <t>NOI</t>
  </si>
  <si>
    <t>Debt Service</t>
  </si>
  <si>
    <t>Total Expenses</t>
  </si>
  <si>
    <t>Combined DCR</t>
  </si>
  <si>
    <t>PROJECT APPRECIATION at 3%</t>
  </si>
  <si>
    <t>NET REFI/SALE PROCEEDS</t>
  </si>
  <si>
    <t>LOAN BALANCE</t>
  </si>
  <si>
    <t>TOTAL EQUITY</t>
  </si>
  <si>
    <t>10 yr IRR</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</si>
  <si>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</si>
  <si>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</si>
  <si>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</si>
  <si>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</si>
  <si>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</si>
  <si>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</si>
  <si>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</si>
  <si>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</si>
  <si>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</si>
  <si>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</si>
  <si>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</si>
  <si>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</si>
  <si>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</si>
  <si>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</si>
  <si>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</si>
  <si>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</si>
  <si>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</si>
  <si>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</si>
  <si>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</si>
  <si>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</si>
  <si>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</si>
  <si>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</si>
  <si>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</si>
  <si>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</si>
  <si>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</si>
  <si>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</si>
  <si>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</si>
  <si>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</si>
  <si>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</si>
  <si>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 Misc Expense</t>
  </si>
  <si>
    <t>intended to get to per-door limit</t>
  </si>
  <si>
    <t>80% MFI Loft Rent/s.f.</t>
  </si>
  <si>
    <t>Total Residential Expense per Door</t>
  </si>
  <si>
    <t>(-) Development Fee (Sweat Equity)</t>
  </si>
  <si>
    <t>Art</t>
  </si>
  <si>
    <t xml:space="preserve">Development Fee Tax Burden </t>
  </si>
  <si>
    <t>Incl</t>
  </si>
  <si>
    <t>Acquisition Financing</t>
  </si>
  <si>
    <t>Other Closing Costs</t>
  </si>
  <si>
    <t>Interest on Acq. Loan</t>
  </si>
  <si>
    <t>Acquisition Loan</t>
  </si>
  <si>
    <t>Loan Closing Costs</t>
  </si>
  <si>
    <t>per plans</t>
  </si>
  <si>
    <t>Revenue (2% escalator)</t>
  </si>
  <si>
    <t>Soc Worker Rent</t>
  </si>
  <si>
    <t>Soc Subsidy</t>
  </si>
  <si>
    <t>Total Reserve</t>
  </si>
  <si>
    <t>Loan-to-Cost</t>
  </si>
  <si>
    <t>included</t>
  </si>
  <si>
    <t>Net Market Rate Lofts</t>
  </si>
  <si>
    <t>Gross Market Loft Income</t>
  </si>
  <si>
    <t>P-Note Interest</t>
  </si>
  <si>
    <t>Net Retail (on NE Sandy)</t>
  </si>
  <si>
    <t>Included in Initial Land Cost</t>
  </si>
  <si>
    <t>(-) Management (partially paid via NNNs)</t>
  </si>
  <si>
    <t>For 30 months</t>
  </si>
  <si>
    <t>NOTE  -  Full occupancy and full cash flow and distributions to Investors anticipated to occur at QIV of 2020.</t>
  </si>
  <si>
    <t>(Changed based on Pro-Teck 11/18 estimate)</t>
  </si>
  <si>
    <t>(per McBride 9/19)</t>
  </si>
  <si>
    <t>HUD Mortgage Insurance Premium</t>
  </si>
  <si>
    <t>HUD Inspection Fee</t>
  </si>
  <si>
    <t>HUD Application Fee</t>
  </si>
  <si>
    <t>Financing Fee</t>
  </si>
  <si>
    <t>Lender Legal</t>
  </si>
  <si>
    <t>Third Party Costs</t>
  </si>
  <si>
    <t>Title Policy/Recording/Survey</t>
  </si>
  <si>
    <t>Borrower Legal</t>
  </si>
  <si>
    <t>Outside Consultants</t>
  </si>
  <si>
    <t>*$6k hydrotech</t>
  </si>
  <si>
    <t>*263k bsa/froelich/dci</t>
  </si>
  <si>
    <t xml:space="preserve">64k </t>
  </si>
  <si>
    <t>$5k Ticor?</t>
  </si>
  <si>
    <t>Likely new report(s) needed by lender?</t>
  </si>
  <si>
    <t>Atomic South should eat this up!</t>
  </si>
  <si>
    <t>In-house by Guerrilla</t>
  </si>
  <si>
    <t>Debt-Yield Coverage</t>
  </si>
  <si>
    <t>Cash back after refinance</t>
  </si>
  <si>
    <t>True (not sweat) Equity Needed</t>
  </si>
  <si>
    <t>Net 60% MFI Lofts</t>
  </si>
  <si>
    <t>Market Loft Rent/s.f.</t>
  </si>
  <si>
    <t>60% MFI Loft Rent/s.f.</t>
  </si>
  <si>
    <t>Gross 80% Loft Income</t>
  </si>
  <si>
    <t>Gross 60% Loft Income</t>
  </si>
  <si>
    <t>60% Lofts Ratio</t>
  </si>
  <si>
    <t>JEN'S $$ TO DATE</t>
  </si>
  <si>
    <t>*includes BSA's estimate of $30,500</t>
  </si>
  <si>
    <t>Investor Group A</t>
  </si>
  <si>
    <t>Investor Group B</t>
  </si>
  <si>
    <t>Preferred at 4%</t>
  </si>
  <si>
    <t>LTCost</t>
  </si>
  <si>
    <t>after equity payback</t>
  </si>
  <si>
    <t>Parking</t>
  </si>
  <si>
    <r>
      <rPr>
        <sz val="12.5"/>
        <rFont val="Arial"/>
        <family val="2"/>
      </rPr>
      <t>NUMBER</t>
    </r>
  </si>
  <si>
    <r>
      <rPr>
        <sz val="12.5"/>
        <rFont val="Arial"/>
        <family val="2"/>
      </rPr>
      <t>NAME</t>
    </r>
  </si>
  <si>
    <r>
      <rPr>
        <sz val="12.5"/>
        <rFont val="Arial"/>
        <family val="2"/>
      </rPr>
      <t>USE</t>
    </r>
  </si>
  <si>
    <r>
      <rPr>
        <sz val="12.5"/>
        <rFont val="Arial"/>
        <family val="2"/>
      </rPr>
      <t>ELEC.</t>
    </r>
    <r>
      <rPr>
        <sz val="12.5"/>
        <rFont val="Times New Roman"/>
        <family val="1"/>
      </rPr>
      <t xml:space="preserve"> </t>
    </r>
    <r>
      <rPr>
        <sz val="12.5"/>
        <rFont val="Arial"/>
        <family val="2"/>
      </rPr>
      <t>EAST</t>
    </r>
  </si>
  <si>
    <r>
      <rPr>
        <sz val="12.5"/>
        <rFont val="Arial"/>
        <family val="2"/>
      </rPr>
      <t>S-1</t>
    </r>
  </si>
  <si>
    <r>
      <rPr>
        <sz val="12.5"/>
        <rFont val="Arial"/>
        <family val="2"/>
      </rPr>
      <t>UNIT</t>
    </r>
    <r>
      <rPr>
        <sz val="12.5"/>
        <rFont val="Times New Roman"/>
        <family val="1"/>
      </rPr>
      <t xml:space="preserve"> </t>
    </r>
    <r>
      <rPr>
        <sz val="12.5"/>
        <rFont val="Arial"/>
        <family val="2"/>
      </rPr>
      <t>101</t>
    </r>
  </si>
  <si>
    <r>
      <rPr>
        <sz val="12.5"/>
        <rFont val="Arial"/>
        <family val="2"/>
      </rPr>
      <t>R-2</t>
    </r>
  </si>
  <si>
    <r>
      <rPr>
        <sz val="12.5"/>
        <rFont val="Arial"/>
        <family val="2"/>
      </rPr>
      <t>UNIT</t>
    </r>
    <r>
      <rPr>
        <sz val="12.5"/>
        <rFont val="Times New Roman"/>
        <family val="1"/>
      </rPr>
      <t xml:space="preserve"> </t>
    </r>
    <r>
      <rPr>
        <sz val="12.5"/>
        <rFont val="Arial"/>
        <family val="2"/>
      </rPr>
      <t>102</t>
    </r>
  </si>
  <si>
    <r>
      <rPr>
        <sz val="12.5"/>
        <rFont val="Arial"/>
        <family val="2"/>
      </rPr>
      <t>UNIT</t>
    </r>
    <r>
      <rPr>
        <sz val="12.5"/>
        <rFont val="Times New Roman"/>
        <family val="1"/>
      </rPr>
      <t xml:space="preserve"> </t>
    </r>
    <r>
      <rPr>
        <sz val="12.5"/>
        <rFont val="Arial"/>
        <family val="2"/>
      </rPr>
      <t>103</t>
    </r>
  </si>
  <si>
    <r>
      <rPr>
        <sz val="12.5"/>
        <rFont val="Arial"/>
        <family val="2"/>
      </rPr>
      <t>UNIT</t>
    </r>
    <r>
      <rPr>
        <sz val="12.5"/>
        <rFont val="Times New Roman"/>
        <family val="1"/>
      </rPr>
      <t xml:space="preserve"> </t>
    </r>
    <r>
      <rPr>
        <sz val="12.5"/>
        <rFont val="Arial"/>
        <family val="2"/>
      </rPr>
      <t>104</t>
    </r>
  </si>
  <si>
    <r>
      <rPr>
        <sz val="12.5"/>
        <rFont val="Arial"/>
        <family val="2"/>
      </rPr>
      <t>UNIT</t>
    </r>
    <r>
      <rPr>
        <sz val="12.5"/>
        <rFont val="Times New Roman"/>
        <family val="1"/>
      </rPr>
      <t xml:space="preserve"> </t>
    </r>
    <r>
      <rPr>
        <sz val="12.5"/>
        <rFont val="Arial"/>
        <family val="2"/>
      </rPr>
      <t>105</t>
    </r>
  </si>
  <si>
    <r>
      <rPr>
        <sz val="12.5"/>
        <rFont val="Arial"/>
        <family val="2"/>
      </rPr>
      <t>UNIT</t>
    </r>
    <r>
      <rPr>
        <sz val="12.5"/>
        <rFont val="Times New Roman"/>
        <family val="1"/>
      </rPr>
      <t xml:space="preserve"> </t>
    </r>
    <r>
      <rPr>
        <sz val="12.5"/>
        <rFont val="Arial"/>
        <family val="2"/>
      </rPr>
      <t>106</t>
    </r>
  </si>
  <si>
    <r>
      <rPr>
        <sz val="12.5"/>
        <rFont val="Arial"/>
        <family val="2"/>
      </rPr>
      <t>UNIT</t>
    </r>
    <r>
      <rPr>
        <sz val="12.5"/>
        <rFont val="Times New Roman"/>
        <family val="1"/>
      </rPr>
      <t xml:space="preserve"> </t>
    </r>
    <r>
      <rPr>
        <sz val="12.5"/>
        <rFont val="Arial"/>
        <family val="2"/>
      </rPr>
      <t>107</t>
    </r>
  </si>
  <si>
    <r>
      <rPr>
        <sz val="12.5"/>
        <rFont val="Arial"/>
        <family val="2"/>
      </rPr>
      <t>UNIT</t>
    </r>
    <r>
      <rPr>
        <sz val="12.5"/>
        <rFont val="Times New Roman"/>
        <family val="1"/>
      </rPr>
      <t xml:space="preserve"> </t>
    </r>
    <r>
      <rPr>
        <sz val="12.5"/>
        <rFont val="Arial"/>
        <family val="2"/>
      </rPr>
      <t>108</t>
    </r>
  </si>
  <si>
    <r>
      <rPr>
        <sz val="12.5"/>
        <rFont val="Arial"/>
        <family val="2"/>
      </rPr>
      <t>UNIT</t>
    </r>
    <r>
      <rPr>
        <sz val="12.5"/>
        <rFont val="Times New Roman"/>
        <family val="1"/>
      </rPr>
      <t xml:space="preserve"> </t>
    </r>
    <r>
      <rPr>
        <sz val="12.5"/>
        <rFont val="Arial"/>
        <family val="2"/>
      </rPr>
      <t>109</t>
    </r>
  </si>
  <si>
    <r>
      <rPr>
        <sz val="12.5"/>
        <rFont val="Arial"/>
        <family val="2"/>
      </rPr>
      <t>LOBBY</t>
    </r>
  </si>
  <si>
    <r>
      <rPr>
        <sz val="12.5"/>
        <rFont val="Arial"/>
        <family val="2"/>
      </rPr>
      <t>BIKE</t>
    </r>
    <r>
      <rPr>
        <sz val="12.5"/>
        <rFont val="Times New Roman"/>
        <family val="1"/>
      </rPr>
      <t xml:space="preserve"> </t>
    </r>
    <r>
      <rPr>
        <sz val="12.5"/>
        <rFont val="Arial"/>
        <family val="2"/>
      </rPr>
      <t>STORAGE</t>
    </r>
  </si>
  <si>
    <r>
      <rPr>
        <sz val="12.5"/>
        <rFont val="Arial"/>
        <family val="2"/>
      </rPr>
      <t>RETAIL</t>
    </r>
  </si>
  <si>
    <r>
      <rPr>
        <sz val="12.5"/>
        <rFont val="Arial"/>
        <family val="2"/>
      </rPr>
      <t>M</t>
    </r>
  </si>
  <si>
    <r>
      <rPr>
        <sz val="12.5"/>
        <rFont val="Arial"/>
        <family val="2"/>
      </rPr>
      <t>UNIT</t>
    </r>
    <r>
      <rPr>
        <sz val="12.5"/>
        <rFont val="Times New Roman"/>
        <family val="1"/>
      </rPr>
      <t xml:space="preserve"> </t>
    </r>
    <r>
      <rPr>
        <sz val="12.5"/>
        <rFont val="Arial"/>
        <family val="2"/>
      </rPr>
      <t>209</t>
    </r>
  </si>
  <si>
    <r>
      <rPr>
        <sz val="12.5"/>
        <rFont val="Arial"/>
        <family val="2"/>
      </rPr>
      <t>TRASH</t>
    </r>
  </si>
  <si>
    <r>
      <rPr>
        <sz val="12.5"/>
        <rFont val="Arial"/>
        <family val="2"/>
      </rPr>
      <t>MECH.</t>
    </r>
    <r>
      <rPr>
        <sz val="12.5"/>
        <rFont val="Times New Roman"/>
        <family val="1"/>
      </rPr>
      <t xml:space="preserve"> </t>
    </r>
    <r>
      <rPr>
        <sz val="12.5"/>
        <rFont val="Arial"/>
        <family val="2"/>
      </rPr>
      <t>EAST</t>
    </r>
  </si>
  <si>
    <r>
      <rPr>
        <sz val="12.5"/>
        <rFont val="Arial"/>
        <family val="2"/>
      </rPr>
      <t>WC</t>
    </r>
  </si>
  <si>
    <r>
      <rPr>
        <sz val="12.5"/>
        <rFont val="Arial"/>
        <family val="2"/>
      </rPr>
      <t>MECH.</t>
    </r>
    <r>
      <rPr>
        <sz val="12.5"/>
        <rFont val="Times New Roman"/>
        <family val="1"/>
      </rPr>
      <t xml:space="preserve"> </t>
    </r>
    <r>
      <rPr>
        <sz val="12.5"/>
        <rFont val="Arial"/>
        <family val="2"/>
      </rPr>
      <t>WEST</t>
    </r>
  </si>
  <si>
    <r>
      <rPr>
        <sz val="12.5"/>
        <rFont val="Arial"/>
        <family val="2"/>
      </rPr>
      <t>UNIT</t>
    </r>
    <r>
      <rPr>
        <sz val="12.5"/>
        <rFont val="Times New Roman"/>
        <family val="1"/>
      </rPr>
      <t xml:space="preserve"> </t>
    </r>
    <r>
      <rPr>
        <sz val="12.5"/>
        <rFont val="Arial"/>
        <family val="2"/>
      </rPr>
      <t>201</t>
    </r>
  </si>
  <si>
    <r>
      <rPr>
        <sz val="12.5"/>
        <rFont val="Arial"/>
        <family val="2"/>
      </rPr>
      <t>UNIT</t>
    </r>
    <r>
      <rPr>
        <sz val="12.5"/>
        <rFont val="Times New Roman"/>
        <family val="1"/>
      </rPr>
      <t xml:space="preserve"> </t>
    </r>
    <r>
      <rPr>
        <sz val="12.5"/>
        <rFont val="Arial"/>
        <family val="2"/>
      </rPr>
      <t>202</t>
    </r>
  </si>
  <si>
    <r>
      <rPr>
        <sz val="12.5"/>
        <rFont val="Arial"/>
        <family val="2"/>
      </rPr>
      <t>UNIT</t>
    </r>
    <r>
      <rPr>
        <sz val="12.5"/>
        <rFont val="Times New Roman"/>
        <family val="1"/>
      </rPr>
      <t xml:space="preserve"> </t>
    </r>
    <r>
      <rPr>
        <sz val="12.5"/>
        <rFont val="Arial"/>
        <family val="2"/>
      </rPr>
      <t>203</t>
    </r>
  </si>
  <si>
    <r>
      <rPr>
        <sz val="12.5"/>
        <rFont val="Arial"/>
        <family val="2"/>
      </rPr>
      <t>UNIT</t>
    </r>
    <r>
      <rPr>
        <sz val="12.5"/>
        <rFont val="Times New Roman"/>
        <family val="1"/>
      </rPr>
      <t xml:space="preserve"> </t>
    </r>
    <r>
      <rPr>
        <sz val="12.5"/>
        <rFont val="Arial"/>
        <family val="2"/>
      </rPr>
      <t>204</t>
    </r>
  </si>
  <si>
    <r>
      <rPr>
        <sz val="12.5"/>
        <rFont val="Arial"/>
        <family val="2"/>
      </rPr>
      <t>UNIT</t>
    </r>
    <r>
      <rPr>
        <sz val="12.5"/>
        <rFont val="Times New Roman"/>
        <family val="1"/>
      </rPr>
      <t xml:space="preserve"> </t>
    </r>
    <r>
      <rPr>
        <sz val="12.5"/>
        <rFont val="Arial"/>
        <family val="2"/>
      </rPr>
      <t>205</t>
    </r>
  </si>
  <si>
    <r>
      <rPr>
        <sz val="12.5"/>
        <rFont val="Arial"/>
        <family val="2"/>
      </rPr>
      <t>UNIT</t>
    </r>
    <r>
      <rPr>
        <sz val="12.5"/>
        <rFont val="Times New Roman"/>
        <family val="1"/>
      </rPr>
      <t xml:space="preserve"> </t>
    </r>
    <r>
      <rPr>
        <sz val="12.5"/>
        <rFont val="Arial"/>
        <family val="2"/>
      </rPr>
      <t>206</t>
    </r>
  </si>
  <si>
    <r>
      <rPr>
        <sz val="12.5"/>
        <rFont val="Arial"/>
        <family val="2"/>
      </rPr>
      <t>UNIT</t>
    </r>
    <r>
      <rPr>
        <sz val="12.5"/>
        <rFont val="Times New Roman"/>
        <family val="1"/>
      </rPr>
      <t xml:space="preserve"> </t>
    </r>
    <r>
      <rPr>
        <sz val="12.5"/>
        <rFont val="Arial"/>
        <family val="2"/>
      </rPr>
      <t>207</t>
    </r>
  </si>
  <si>
    <r>
      <rPr>
        <sz val="12.5"/>
        <rFont val="Arial"/>
        <family val="2"/>
      </rPr>
      <t>UNIT</t>
    </r>
    <r>
      <rPr>
        <sz val="12.5"/>
        <rFont val="Times New Roman"/>
        <family val="1"/>
      </rPr>
      <t xml:space="preserve"> </t>
    </r>
    <r>
      <rPr>
        <sz val="12.5"/>
        <rFont val="Arial"/>
        <family val="2"/>
      </rPr>
      <t>208</t>
    </r>
  </si>
  <si>
    <r>
      <rPr>
        <sz val="12.5"/>
        <rFont val="Arial"/>
        <family val="2"/>
      </rPr>
      <t>UNIT</t>
    </r>
    <r>
      <rPr>
        <sz val="12.5"/>
        <rFont val="Times New Roman"/>
        <family val="1"/>
      </rPr>
      <t xml:space="preserve"> </t>
    </r>
    <r>
      <rPr>
        <sz val="12.5"/>
        <rFont val="Arial"/>
        <family val="2"/>
      </rPr>
      <t>210</t>
    </r>
  </si>
  <si>
    <r>
      <rPr>
        <sz val="12.5"/>
        <rFont val="Arial"/>
        <family val="2"/>
      </rPr>
      <t>UNIT</t>
    </r>
    <r>
      <rPr>
        <sz val="12.5"/>
        <rFont val="Times New Roman"/>
        <family val="1"/>
      </rPr>
      <t xml:space="preserve"> </t>
    </r>
    <r>
      <rPr>
        <sz val="12.5"/>
        <rFont val="Arial"/>
        <family val="2"/>
      </rPr>
      <t>211</t>
    </r>
  </si>
  <si>
    <r>
      <rPr>
        <sz val="12.5"/>
        <rFont val="Arial"/>
        <family val="2"/>
      </rPr>
      <t>UNIT</t>
    </r>
    <r>
      <rPr>
        <sz val="12.5"/>
        <rFont val="Times New Roman"/>
        <family val="1"/>
      </rPr>
      <t xml:space="preserve"> </t>
    </r>
    <r>
      <rPr>
        <sz val="12.5"/>
        <rFont val="Arial"/>
        <family val="2"/>
      </rPr>
      <t>212</t>
    </r>
  </si>
  <si>
    <r>
      <rPr>
        <sz val="12.5"/>
        <rFont val="Arial"/>
        <family val="2"/>
      </rPr>
      <t>UNIT</t>
    </r>
    <r>
      <rPr>
        <sz val="12.5"/>
        <rFont val="Times New Roman"/>
        <family val="1"/>
      </rPr>
      <t xml:space="preserve"> </t>
    </r>
    <r>
      <rPr>
        <sz val="12.5"/>
        <rFont val="Arial"/>
        <family val="2"/>
      </rPr>
      <t>213</t>
    </r>
  </si>
  <si>
    <r>
      <rPr>
        <sz val="12.5"/>
        <rFont val="Arial"/>
        <family val="2"/>
      </rPr>
      <t>UNIT</t>
    </r>
    <r>
      <rPr>
        <sz val="12.5"/>
        <rFont val="Times New Roman"/>
        <family val="1"/>
      </rPr>
      <t xml:space="preserve"> </t>
    </r>
    <r>
      <rPr>
        <sz val="12.5"/>
        <rFont val="Arial"/>
        <family val="2"/>
      </rPr>
      <t>214</t>
    </r>
  </si>
  <si>
    <r>
      <rPr>
        <sz val="12.5"/>
        <rFont val="Arial"/>
        <family val="2"/>
      </rPr>
      <t>UNIT</t>
    </r>
    <r>
      <rPr>
        <sz val="12.5"/>
        <rFont val="Times New Roman"/>
        <family val="1"/>
      </rPr>
      <t xml:space="preserve"> </t>
    </r>
    <r>
      <rPr>
        <sz val="12.5"/>
        <rFont val="Arial"/>
        <family val="2"/>
      </rPr>
      <t>215</t>
    </r>
  </si>
  <si>
    <r>
      <rPr>
        <sz val="12.5"/>
        <rFont val="Arial"/>
        <family val="2"/>
      </rPr>
      <t>UNIT</t>
    </r>
    <r>
      <rPr>
        <sz val="12.5"/>
        <rFont val="Times New Roman"/>
        <family val="1"/>
      </rPr>
      <t xml:space="preserve"> </t>
    </r>
    <r>
      <rPr>
        <sz val="12.5"/>
        <rFont val="Arial"/>
        <family val="2"/>
      </rPr>
      <t>216</t>
    </r>
  </si>
  <si>
    <r>
      <rPr>
        <sz val="12.5"/>
        <rFont val="Arial"/>
        <family val="2"/>
      </rPr>
      <t>UNIT</t>
    </r>
    <r>
      <rPr>
        <sz val="12.5"/>
        <rFont val="Times New Roman"/>
        <family val="1"/>
      </rPr>
      <t xml:space="preserve"> </t>
    </r>
    <r>
      <rPr>
        <sz val="12.5"/>
        <rFont val="Arial"/>
        <family val="2"/>
      </rPr>
      <t>217</t>
    </r>
  </si>
  <si>
    <r>
      <rPr>
        <sz val="12.5"/>
        <rFont val="Arial"/>
        <family val="2"/>
      </rPr>
      <t>UNIT</t>
    </r>
    <r>
      <rPr>
        <sz val="12.5"/>
        <rFont val="Times New Roman"/>
        <family val="1"/>
      </rPr>
      <t xml:space="preserve"> </t>
    </r>
    <r>
      <rPr>
        <sz val="12.5"/>
        <rFont val="Arial"/>
        <family val="2"/>
      </rPr>
      <t>218</t>
    </r>
  </si>
  <si>
    <r>
      <rPr>
        <sz val="12.5"/>
        <rFont val="Arial"/>
        <family val="2"/>
      </rPr>
      <t>UNIT</t>
    </r>
    <r>
      <rPr>
        <sz val="12.5"/>
        <rFont val="Times New Roman"/>
        <family val="1"/>
      </rPr>
      <t xml:space="preserve"> </t>
    </r>
    <r>
      <rPr>
        <sz val="12.5"/>
        <rFont val="Arial"/>
        <family val="2"/>
      </rPr>
      <t>219</t>
    </r>
  </si>
  <si>
    <r>
      <rPr>
        <sz val="12.5"/>
        <rFont val="Arial"/>
        <family val="2"/>
      </rPr>
      <t>UNIT</t>
    </r>
    <r>
      <rPr>
        <sz val="12.5"/>
        <rFont val="Times New Roman"/>
        <family val="1"/>
      </rPr>
      <t xml:space="preserve"> </t>
    </r>
    <r>
      <rPr>
        <sz val="12.5"/>
        <rFont val="Arial"/>
        <family val="2"/>
      </rPr>
      <t>220</t>
    </r>
  </si>
  <si>
    <r>
      <rPr>
        <sz val="12.5"/>
        <rFont val="Arial"/>
        <family val="2"/>
      </rPr>
      <t>UNIT</t>
    </r>
    <r>
      <rPr>
        <sz val="12.5"/>
        <rFont val="Times New Roman"/>
        <family val="1"/>
      </rPr>
      <t xml:space="preserve"> </t>
    </r>
    <r>
      <rPr>
        <sz val="12.5"/>
        <rFont val="Arial"/>
        <family val="2"/>
      </rPr>
      <t>301</t>
    </r>
  </si>
  <si>
    <r>
      <rPr>
        <sz val="12.5"/>
        <rFont val="Arial"/>
        <family val="2"/>
      </rPr>
      <t>UNIT</t>
    </r>
    <r>
      <rPr>
        <sz val="12.5"/>
        <rFont val="Times New Roman"/>
        <family val="1"/>
      </rPr>
      <t xml:space="preserve"> </t>
    </r>
    <r>
      <rPr>
        <sz val="12.5"/>
        <rFont val="Arial"/>
        <family val="2"/>
      </rPr>
      <t>302</t>
    </r>
  </si>
  <si>
    <r>
      <rPr>
        <sz val="12.5"/>
        <rFont val="Arial"/>
        <family val="2"/>
      </rPr>
      <t>UNIT</t>
    </r>
    <r>
      <rPr>
        <sz val="12.5"/>
        <rFont val="Times New Roman"/>
        <family val="1"/>
      </rPr>
      <t xml:space="preserve"> </t>
    </r>
    <r>
      <rPr>
        <sz val="12.5"/>
        <rFont val="Arial"/>
        <family val="2"/>
      </rPr>
      <t>303</t>
    </r>
  </si>
  <si>
    <r>
      <rPr>
        <sz val="12.5"/>
        <rFont val="Arial"/>
        <family val="2"/>
      </rPr>
      <t>UNIT</t>
    </r>
    <r>
      <rPr>
        <sz val="12.5"/>
        <rFont val="Times New Roman"/>
        <family val="1"/>
      </rPr>
      <t xml:space="preserve"> </t>
    </r>
    <r>
      <rPr>
        <sz val="12.5"/>
        <rFont val="Arial"/>
        <family val="2"/>
      </rPr>
      <t>304</t>
    </r>
  </si>
  <si>
    <r>
      <rPr>
        <sz val="12.5"/>
        <rFont val="Arial"/>
        <family val="2"/>
      </rPr>
      <t>UNIT</t>
    </r>
    <r>
      <rPr>
        <sz val="12.5"/>
        <rFont val="Times New Roman"/>
        <family val="1"/>
      </rPr>
      <t xml:space="preserve"> </t>
    </r>
    <r>
      <rPr>
        <sz val="12.5"/>
        <rFont val="Arial"/>
        <family val="2"/>
      </rPr>
      <t>305</t>
    </r>
  </si>
  <si>
    <r>
      <rPr>
        <sz val="12.5"/>
        <rFont val="Arial"/>
        <family val="2"/>
      </rPr>
      <t>UNIT</t>
    </r>
    <r>
      <rPr>
        <sz val="12.5"/>
        <rFont val="Times New Roman"/>
        <family val="1"/>
      </rPr>
      <t xml:space="preserve"> </t>
    </r>
    <r>
      <rPr>
        <sz val="12.5"/>
        <rFont val="Arial"/>
        <family val="2"/>
      </rPr>
      <t>306</t>
    </r>
  </si>
  <si>
    <r>
      <rPr>
        <sz val="12.5"/>
        <rFont val="Arial"/>
        <family val="2"/>
      </rPr>
      <t>UNIT</t>
    </r>
    <r>
      <rPr>
        <sz val="12.5"/>
        <rFont val="Times New Roman"/>
        <family val="1"/>
      </rPr>
      <t xml:space="preserve"> </t>
    </r>
    <r>
      <rPr>
        <sz val="12.5"/>
        <rFont val="Arial"/>
        <family val="2"/>
      </rPr>
      <t>307</t>
    </r>
  </si>
  <si>
    <r>
      <rPr>
        <sz val="12.5"/>
        <rFont val="Arial"/>
        <family val="2"/>
      </rPr>
      <t>UNIT</t>
    </r>
    <r>
      <rPr>
        <sz val="12.5"/>
        <rFont val="Times New Roman"/>
        <family val="1"/>
      </rPr>
      <t xml:space="preserve"> </t>
    </r>
    <r>
      <rPr>
        <sz val="12.5"/>
        <rFont val="Arial"/>
        <family val="2"/>
      </rPr>
      <t>308</t>
    </r>
  </si>
  <si>
    <r>
      <rPr>
        <sz val="12.5"/>
        <rFont val="Arial"/>
        <family val="2"/>
      </rPr>
      <t>UNIT</t>
    </r>
    <r>
      <rPr>
        <sz val="12.5"/>
        <rFont val="Times New Roman"/>
        <family val="1"/>
      </rPr>
      <t xml:space="preserve"> </t>
    </r>
    <r>
      <rPr>
        <sz val="12.5"/>
        <rFont val="Arial"/>
        <family val="2"/>
      </rPr>
      <t>309</t>
    </r>
  </si>
  <si>
    <r>
      <rPr>
        <sz val="12.5"/>
        <rFont val="Arial"/>
        <family val="2"/>
      </rPr>
      <t>UNIT</t>
    </r>
    <r>
      <rPr>
        <sz val="12.5"/>
        <rFont val="Times New Roman"/>
        <family val="1"/>
      </rPr>
      <t xml:space="preserve"> </t>
    </r>
    <r>
      <rPr>
        <sz val="12.5"/>
        <rFont val="Arial"/>
        <family val="2"/>
      </rPr>
      <t>310</t>
    </r>
  </si>
  <si>
    <r>
      <rPr>
        <sz val="12.5"/>
        <rFont val="Arial"/>
        <family val="2"/>
      </rPr>
      <t>UNIT</t>
    </r>
    <r>
      <rPr>
        <sz val="12.5"/>
        <rFont val="Times New Roman"/>
        <family val="1"/>
      </rPr>
      <t xml:space="preserve"> </t>
    </r>
    <r>
      <rPr>
        <sz val="12.5"/>
        <rFont val="Arial"/>
        <family val="2"/>
      </rPr>
      <t>311</t>
    </r>
  </si>
  <si>
    <r>
      <rPr>
        <sz val="12.5"/>
        <rFont val="Arial"/>
        <family val="2"/>
      </rPr>
      <t>UNIT</t>
    </r>
    <r>
      <rPr>
        <sz val="12.5"/>
        <rFont val="Times New Roman"/>
        <family val="1"/>
      </rPr>
      <t xml:space="preserve"> </t>
    </r>
    <r>
      <rPr>
        <sz val="12.5"/>
        <rFont val="Arial"/>
        <family val="2"/>
      </rPr>
      <t>312</t>
    </r>
  </si>
  <si>
    <r>
      <rPr>
        <sz val="12.5"/>
        <rFont val="Arial"/>
        <family val="2"/>
      </rPr>
      <t>UNIT</t>
    </r>
    <r>
      <rPr>
        <sz val="12.5"/>
        <rFont val="Times New Roman"/>
        <family val="1"/>
      </rPr>
      <t xml:space="preserve"> </t>
    </r>
    <r>
      <rPr>
        <sz val="12.5"/>
        <rFont val="Arial"/>
        <family val="2"/>
      </rPr>
      <t>313</t>
    </r>
  </si>
  <si>
    <r>
      <rPr>
        <sz val="12.5"/>
        <rFont val="Arial"/>
        <family val="2"/>
      </rPr>
      <t>UNIT</t>
    </r>
    <r>
      <rPr>
        <sz val="12.5"/>
        <rFont val="Times New Roman"/>
        <family val="1"/>
      </rPr>
      <t xml:space="preserve"> </t>
    </r>
    <r>
      <rPr>
        <sz val="12.5"/>
        <rFont val="Arial"/>
        <family val="2"/>
      </rPr>
      <t>314</t>
    </r>
  </si>
  <si>
    <r>
      <rPr>
        <sz val="12.5"/>
        <rFont val="Arial"/>
        <family val="2"/>
      </rPr>
      <t>UNIT</t>
    </r>
    <r>
      <rPr>
        <sz val="12.5"/>
        <rFont val="Times New Roman"/>
        <family val="1"/>
      </rPr>
      <t xml:space="preserve"> </t>
    </r>
    <r>
      <rPr>
        <sz val="12.5"/>
        <rFont val="Arial"/>
        <family val="2"/>
      </rPr>
      <t>315</t>
    </r>
  </si>
  <si>
    <r>
      <rPr>
        <sz val="12.5"/>
        <rFont val="Arial"/>
        <family val="2"/>
      </rPr>
      <t>UNIT</t>
    </r>
    <r>
      <rPr>
        <sz val="12.5"/>
        <rFont val="Times New Roman"/>
        <family val="1"/>
      </rPr>
      <t xml:space="preserve"> </t>
    </r>
    <r>
      <rPr>
        <sz val="12.5"/>
        <rFont val="Arial"/>
        <family val="2"/>
      </rPr>
      <t>316</t>
    </r>
  </si>
  <si>
    <r>
      <rPr>
        <sz val="12.5"/>
        <rFont val="Arial"/>
        <family val="2"/>
      </rPr>
      <t>UNIT</t>
    </r>
    <r>
      <rPr>
        <sz val="12.5"/>
        <rFont val="Times New Roman"/>
        <family val="1"/>
      </rPr>
      <t xml:space="preserve"> </t>
    </r>
    <r>
      <rPr>
        <sz val="12.5"/>
        <rFont val="Arial"/>
        <family val="2"/>
      </rPr>
      <t>317</t>
    </r>
  </si>
  <si>
    <r>
      <rPr>
        <sz val="12.5"/>
        <rFont val="Arial"/>
        <family val="2"/>
      </rPr>
      <t>UNIT</t>
    </r>
    <r>
      <rPr>
        <sz val="12.5"/>
        <rFont val="Times New Roman"/>
        <family val="1"/>
      </rPr>
      <t xml:space="preserve"> </t>
    </r>
    <r>
      <rPr>
        <sz val="12.5"/>
        <rFont val="Arial"/>
        <family val="2"/>
      </rPr>
      <t>318</t>
    </r>
  </si>
  <si>
    <r>
      <rPr>
        <sz val="12.5"/>
        <rFont val="Arial"/>
        <family val="2"/>
      </rPr>
      <t>UNIT</t>
    </r>
    <r>
      <rPr>
        <sz val="12.5"/>
        <rFont val="Times New Roman"/>
        <family val="1"/>
      </rPr>
      <t xml:space="preserve"> </t>
    </r>
    <r>
      <rPr>
        <sz val="12.5"/>
        <rFont val="Arial"/>
        <family val="2"/>
      </rPr>
      <t>319</t>
    </r>
  </si>
  <si>
    <r>
      <rPr>
        <sz val="12.5"/>
        <rFont val="Arial"/>
        <family val="2"/>
      </rPr>
      <t>UNIT</t>
    </r>
    <r>
      <rPr>
        <sz val="12.5"/>
        <rFont val="Times New Roman"/>
        <family val="1"/>
      </rPr>
      <t xml:space="preserve"> </t>
    </r>
    <r>
      <rPr>
        <sz val="12.5"/>
        <rFont val="Arial"/>
        <family val="2"/>
      </rPr>
      <t>320</t>
    </r>
  </si>
  <si>
    <t>Retail total</t>
  </si>
  <si>
    <t>Retail average</t>
  </si>
  <si>
    <t>TOTAL (SF)</t>
  </si>
  <si>
    <t>1st floor residential average</t>
  </si>
  <si>
    <t>1st floor residential total</t>
  </si>
  <si>
    <t>2nd floor residential average</t>
  </si>
  <si>
    <t>2nd floor residential total</t>
  </si>
  <si>
    <t>3rd floor residential average</t>
  </si>
  <si>
    <t>3rd floor residential total</t>
  </si>
  <si>
    <t>Total residential average</t>
  </si>
  <si>
    <t>Total residential total</t>
  </si>
  <si>
    <t>Bldg total</t>
  </si>
  <si>
    <t>Net Leasable</t>
  </si>
  <si>
    <t xml:space="preserve"> </t>
  </si>
  <si>
    <t>2022 (partial yr)</t>
  </si>
  <si>
    <t>Unit Table</t>
  </si>
  <si>
    <t xml:space="preserve">WG hard entered per 8/28/2020 estimate from City of Portland - does not include approximate 40% reduction in ACHET and SDC charges for the residential units. </t>
  </si>
  <si>
    <t>WG hard entered per 8/28/2020 estimate from City of Portland</t>
  </si>
  <si>
    <t xml:space="preserve">WG rough estimate of 40% reduction in CET and SDC charges for the residential units. </t>
  </si>
  <si>
    <t>LTV</t>
  </si>
  <si>
    <t>Amount of Internal Subsidy</t>
  </si>
  <si>
    <t>Number of Internally-subsidized Lofts</t>
  </si>
  <si>
    <t>Actual 10 yr IRR, counting subsidy</t>
  </si>
  <si>
    <t>Market Rent</t>
  </si>
  <si>
    <t>Note:  Reserve stays flat after 12 units achieved.</t>
  </si>
  <si>
    <t>Atomic Orchard Lofts North - 12 Lofts at 50% MFI for Social Workers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</si>
</sst>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quot;$&quot;* #,##0&quot; &quot;;&quot; &quot;&quot;$&quot;* \(#,##0\);&quot; &quot;&quot;$&quot;* &quot;-&quot;??&quot; &quot;"/>
    <numFmt numFmtId="165" formatCode="mmmm&quot; &quot;d&quot;, &quot;yyyy"/>
    <numFmt numFmtId="166" formatCode="&quot;$&quot;#,##0.00;[Red]&quot;$&quot;#,##0.00"/>
    <numFmt numFmtId="167" formatCode="&quot;$&quot;#,##0;[Red]&quot;$&quot;#,##0"/>
    <numFmt numFmtId="168" formatCode="&quot; &quot;&quot;$&quot;* #,##0.00&quot; &quot;;&quot; &quot;&quot;$&quot;* \(#,##0.00\);&quot; &quot;&quot;$&quot;* &quot;-&quot;??&quot; &quot;"/>
    <numFmt numFmtId="169" formatCode="0.0%"/>
    <numFmt numFmtId="170" formatCode="#,##0&quot; &quot;;\(#,##0\)"/>
    <numFmt numFmtId="171" formatCode="0.000%"/>
    <numFmt numFmtId="172" formatCode="&quot;$&quot;#,##0.00"/>
    <numFmt numFmtId="173" formatCode="&quot;$&quot;#,##0"/>
    <numFmt numFmtId="174" formatCode="&quot;$&quot;#,##0&quot; &quot;;&quot;($&quot;#,##0\)"/>
    <numFmt numFmtId="175" formatCode="&quot;$&quot;#,##0.000;[Red]&quot;$&quot;#,##0.000"/>
    <numFmt numFmtId="176" formatCode="&quot; &quot;* #,##0&quot; &quot;;&quot; &quot;* \(#,##0\);&quot; &quot;* &quot;- &quot;"/>
    <numFmt numFmtId="177" formatCode="&quot;$&quot;#,##0.0;[Red]&quot;$&quot;#,##0.0"/>
    <numFmt numFmtId="178" formatCode="#,##0.00&quot; &quot;;\(#,##0.00\)"/>
    <numFmt numFmtId="179" formatCode="0.00&quot; &quot;;\(0.00\)"/>
    <numFmt numFmtId="180" formatCode="0_);[Red]\(0\)"/>
    <numFmt numFmtId="181" formatCode="0.00?%&quot; &quot;"/>
    <numFmt numFmtId="182" formatCode="0&quot; &quot;"/>
    <numFmt numFmtId="183" formatCode="&quot; &quot;* #,##0.00&quot; &quot;;&quot; &quot;* \(#,##0.00\);&quot; &quot;* &quot;-&quot;??&quot; &quot;"/>
    <numFmt numFmtId="184" formatCode="\$#,##0.00"/>
    <numFmt numFmtId="185" formatCode="_(* #,##0.00_);_(* \(#,##0.00\);_(* \-??_);_(@_)"/>
    <numFmt numFmtId="186" formatCode="\$#,##0_);[Red]&quot;($&quot;#,##0\)"/>
    <numFmt numFmtId="187" formatCode="[$$-409]#,##0.00;[Red]\-[$$-409]#,##0.00"/>
    <numFmt numFmtId="188" formatCode="\$#,##0.0_);[Red]&quot;($&quot;#,##0.0\)"/>
    <numFmt numFmtId="189" formatCode="_(\$* #,##0.00_);_(\$* \(#,##0.00\);_(\$* \-??_);_(@_)"/>
    <numFmt numFmtId="190" formatCode="_(&quot;$&quot;* #,##0.0_);_(&quot;$&quot;* \(#,##0.0\);_(&quot;$&quot;* &quot;-&quot;??_);_(@_)"/>
    <numFmt numFmtId="191" formatCode="_(&quot;$&quot;* #,##0_);_(&quot;$&quot;* \(#,##0\);_(&quot;$&quot;* &quot;-&quot;??_);_(@_)"/>
    <numFmt numFmtId="192" formatCode="_(* #,##0.0_);_(* \(#,##0.0\);_(* &quot;-&quot;??_);_(@_)"/>
    <numFmt numFmtId="193" formatCode="_(* #,##0_);_(* \(#,##0\);_(* &quot;-&quot;??_);_(@_)"/>
    <numFmt numFmtId="194" formatCode="0.0"/>
    <numFmt numFmtId="195" formatCode="_(&quot;$&quot;* #,##0.0_);_(&quot;$&quot;* \(#,##0.0\);_(&quot;$&quot;* &quot;-&quot;?_);_(@_)"/>
    <numFmt numFmtId="196" formatCode="&quot; &quot;&quot;$&quot;* #,##0.0&quot; &quot;;&quot; &quot;&quot;$&quot;* \(#,##0.0\);&quot; &quot;&quot;$&quot;* &quot;-&quot;??&quot; &quot;"/>
    <numFmt numFmtId="197" formatCode="_(&quot;$&quot;* #,##0.000_);_(&quot;$&quot;* \(#,##0.000\);_(&quot;$&quot;* &quot;-&quot;??_);_(@_)"/>
    <numFmt numFmtId="198" formatCode="_(&quot;$&quot;* #,##0.0000_);_(&quot;$&quot;* \(#,##0.0000\);_(&quot;$&quot;* &quot;-&quot;??_);_(@_)"/>
    <numFmt numFmtId="199" formatCode="_(&quot;$&quot;* #,##0.00000_);_(&quot;$&quot;* \(#,##0.00000\);_(&quot;$&quot;* &quot;-&quot;??_);_(@_)"/>
    <numFmt numFmtId="200" formatCode="&quot;$&quot;#,##0.0"/>
    <numFmt numFmtId="201" formatCode="&quot;Yes&quot;;&quot;Yes&quot;;&quot;No&quot;"/>
    <numFmt numFmtId="202" formatCode="&quot;True&quot;;&quot;True&quot;;&quot;False&quot;"/>
    <numFmt numFmtId="203" formatCode="&quot;On&quot;;&quot;On&quot;;&quot;Off&quot;"/>
    <numFmt numFmtId="204" formatCode="[$€-2]\ #,##0.00_);[Red]\([$€-2]\ #,##0.00\)"/>
  </numFmts>
  <fonts count="62">
    <font>
      <sz val="12"/>
      <color indexed="8"/>
      <name val="Verdana"/>
      <family val="0"/>
    </font>
    <font>
      <sz val="11"/>
      <color indexed="8"/>
      <name val="Helvetica"/>
      <family val="2"/>
    </font>
    <font>
      <sz val="10"/>
      <color indexed="8"/>
      <name val="Arial"/>
      <family val="2"/>
    </font>
    <font>
      <sz val="14"/>
      <color indexed="9"/>
      <name val="Arial Bold"/>
      <family val="0"/>
    </font>
    <font>
      <sz val="10"/>
      <color indexed="8"/>
      <name val="Arial Bold"/>
      <family val="0"/>
    </font>
    <font>
      <sz val="11"/>
      <color indexed="8"/>
      <name val="Arial Bold"/>
      <family val="0"/>
    </font>
    <font>
      <sz val="8"/>
      <color indexed="8"/>
      <name val="Arial"/>
      <family val="2"/>
    </font>
    <font>
      <u val="single"/>
      <sz val="10"/>
      <color indexed="13"/>
      <name val="Arial"/>
      <family val="2"/>
    </font>
    <font>
      <sz val="14"/>
      <color indexed="8"/>
      <name val="Arial Bold"/>
      <family val="0"/>
    </font>
    <font>
      <u val="single"/>
      <sz val="10"/>
      <color indexed="8"/>
      <name val="Arial Bold"/>
      <family val="0"/>
    </font>
    <font>
      <sz val="10"/>
      <color indexed="13"/>
      <name val="Arial Bold"/>
      <family val="0"/>
    </font>
    <font>
      <b/>
      <sz val="18"/>
      <color indexed="8"/>
      <name val="Century Gothic"/>
      <family val="2"/>
    </font>
    <font>
      <sz val="10"/>
      <color indexed="8"/>
      <name val="Century Gothic"/>
      <family val="2"/>
    </font>
    <font>
      <b/>
      <sz val="10"/>
      <color indexed="8"/>
      <name val="Century Gothic"/>
      <family val="2"/>
    </font>
    <font>
      <sz val="9"/>
      <color indexed="8"/>
      <name val="Century Gothic"/>
      <family val="2"/>
    </font>
    <font>
      <sz val="10"/>
      <color indexed="17"/>
      <name val="Arial"/>
      <family val="2"/>
    </font>
    <font>
      <b/>
      <sz val="10"/>
      <color indexed="8"/>
      <name val="Arial"/>
      <family val="2"/>
    </font>
    <font>
      <b/>
      <sz val="10"/>
      <color indexed="8"/>
      <name val="Arial Bold"/>
      <family val="0"/>
    </font>
    <font>
      <b/>
      <sz val="10"/>
      <color indexed="14"/>
      <name val="Arial Bold"/>
      <family val="0"/>
    </font>
    <font>
      <sz val="12.5"/>
      <name val="Arial"/>
      <family val="0"/>
    </font>
    <font>
      <sz val="12.5"/>
      <name val="Times New Roman"/>
      <family val="1"/>
    </font>
    <font>
      <b/>
      <sz val="20"/>
      <color indexed="8"/>
      <name val="Verdana"/>
      <family val="2"/>
    </font>
    <font>
      <sz val="11"/>
      <color indexed="15"/>
      <name val="Helvetica"/>
      <family val="2"/>
    </font>
    <font>
      <sz val="11"/>
      <color indexed="20"/>
      <name val="Helvetica"/>
      <family val="2"/>
    </font>
    <font>
      <b/>
      <sz val="11"/>
      <color indexed="52"/>
      <name val="Helvetica"/>
      <family val="2"/>
    </font>
    <font>
      <b/>
      <sz val="11"/>
      <color indexed="15"/>
      <name val="Helvetica"/>
      <family val="2"/>
    </font>
    <font>
      <i/>
      <sz val="11"/>
      <color indexed="17"/>
      <name val="Helvetica"/>
      <family val="2"/>
    </font>
    <font>
      <sz val="11"/>
      <color indexed="58"/>
      <name val="Helvetica"/>
      <family val="2"/>
    </font>
    <font>
      <b/>
      <sz val="15"/>
      <color indexed="14"/>
      <name val="Helvetica"/>
      <family val="2"/>
    </font>
    <font>
      <b/>
      <sz val="13"/>
      <color indexed="14"/>
      <name val="Helvetica"/>
      <family val="2"/>
    </font>
    <font>
      <b/>
      <sz val="11"/>
      <color indexed="14"/>
      <name val="Helvetica"/>
      <family val="2"/>
    </font>
    <font>
      <u val="single"/>
      <sz val="12"/>
      <color indexed="39"/>
      <name val="Verdana"/>
      <family val="2"/>
    </font>
    <font>
      <sz val="11"/>
      <color indexed="62"/>
      <name val="Helvetica"/>
      <family val="2"/>
    </font>
    <font>
      <sz val="11"/>
      <color indexed="52"/>
      <name val="Helvetica"/>
      <family val="2"/>
    </font>
    <font>
      <sz val="11"/>
      <color indexed="60"/>
      <name val="Helvetica"/>
      <family val="2"/>
    </font>
    <font>
      <b/>
      <sz val="18"/>
      <color indexed="14"/>
      <name val="Helvetica"/>
      <family val="2"/>
    </font>
    <font>
      <b/>
      <sz val="11"/>
      <color indexed="8"/>
      <name val="Helvetica"/>
      <family val="2"/>
    </font>
    <font>
      <sz val="11"/>
      <color indexed="9"/>
      <name val="Helvetica"/>
      <family val="2"/>
    </font>
    <font>
      <b/>
      <sz val="10"/>
      <color indexed="9"/>
      <name val="Arial"/>
      <family val="2"/>
    </font>
    <font>
      <sz val="10"/>
      <color indexed="9"/>
      <name val="Arial"/>
      <family val="2"/>
    </font>
    <font>
      <sz val="12.5"/>
      <color indexed="8"/>
      <name val="Arial"/>
      <family val="2"/>
    </font>
    <font>
      <sz val="11"/>
      <color theme="1"/>
      <name val="Helvetica"/>
      <family val="2"/>
    </font>
    <font>
      <sz val="11"/>
      <color theme="0"/>
      <name val="Helvetica"/>
      <family val="2"/>
    </font>
    <font>
      <sz val="11"/>
      <color rgb="FF9C0006"/>
      <name val="Helvetica"/>
      <family val="2"/>
    </font>
    <font>
      <b/>
      <sz val="11"/>
      <color rgb="FFFA7D00"/>
      <name val="Helvetica"/>
      <family val="2"/>
    </font>
    <font>
      <b/>
      <sz val="11"/>
      <color theme="0"/>
      <name val="Helvetica"/>
      <family val="2"/>
    </font>
    <font>
      <i/>
      <sz val="11"/>
      <color rgb="FF7F7F7F"/>
      <name val="Helvetica"/>
      <family val="2"/>
    </font>
    <font>
      <sz val="11"/>
      <color rgb="FF006100"/>
      <name val="Helvetica"/>
      <family val="2"/>
    </font>
    <font>
      <b/>
      <sz val="15"/>
      <color theme="3"/>
      <name val="Helvetica"/>
      <family val="2"/>
    </font>
    <font>
      <b/>
      <sz val="13"/>
      <color theme="3"/>
      <name val="Helvetica"/>
      <family val="2"/>
    </font>
    <font>
      <b/>
      <sz val="11"/>
      <color theme="3"/>
      <name val="Helvetica"/>
      <family val="2"/>
    </font>
    <font>
      <u val="single"/>
      <sz val="12"/>
      <color theme="10"/>
      <name val="Verdana"/>
      <family val="2"/>
    </font>
    <font>
      <sz val="11"/>
      <color rgb="FF3F3F76"/>
      <name val="Helvetica"/>
      <family val="2"/>
    </font>
    <font>
      <sz val="11"/>
      <color rgb="FFFA7D00"/>
      <name val="Helvetica"/>
      <family val="2"/>
    </font>
    <font>
      <sz val="11"/>
      <color rgb="FF9C6500"/>
      <name val="Helvetica"/>
      <family val="2"/>
    </font>
    <font>
      <b/>
      <sz val="11"/>
      <color rgb="FF3F3F3F"/>
      <name val="Helvetica"/>
      <family val="2"/>
    </font>
    <font>
      <b/>
      <sz val="18"/>
      <color theme="3"/>
      <name val="Helvetica"/>
      <family val="2"/>
    </font>
    <font>
      <b/>
      <sz val="11"/>
      <color theme="1"/>
      <name val="Helvetica"/>
      <family val="2"/>
    </font>
    <font>
      <sz val="11"/>
      <color rgb="FFFF0000"/>
      <name val="Helvetica"/>
      <family val="2"/>
    </font>
    <font>
      <b/>
      <sz val="10"/>
      <color rgb="FFFF0000"/>
      <name val="Arial"/>
      <family val="2"/>
    </font>
    <font>
      <sz val="10"/>
      <color rgb="FFFF0000"/>
      <name val="Arial"/>
      <family val="2"/>
    </font>
    <font>
      <sz val="12.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2"/>
        <bgColor indexed="64"/>
      </patternFill>
    </fill>
    <fill>
      <patternFill patternType="solid">
        <fgColor indexed="15"/>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
      <patternFill patternType="solid">
        <fgColor theme="0"/>
        <bgColor indexed="64"/>
      </patternFill>
    </fill>
    <fill>
      <patternFill patternType="solid">
        <fgColor rgb="FF92D050"/>
        <bgColor indexed="64"/>
      </patternFill>
    </fill>
  </fills>
  <borders count="1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color indexed="8"/>
      </right>
      <top style="thin">
        <color indexed="10"/>
      </top>
      <bottom style="thin">
        <color indexed="10"/>
      </bottom>
    </border>
    <border>
      <left style="medium">
        <color indexed="8"/>
      </left>
      <right style="thin">
        <color indexed="10"/>
      </right>
      <top style="medium">
        <color indexed="8"/>
      </top>
      <bottom style="thin">
        <color indexed="8"/>
      </bottom>
    </border>
    <border>
      <left style="thin">
        <color indexed="10"/>
      </left>
      <right style="thin">
        <color indexed="10"/>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10"/>
      </right>
      <top style="thin">
        <color indexed="8"/>
      </top>
      <bottom style="thin">
        <color indexed="8"/>
      </bottom>
    </border>
    <border>
      <left style="thin">
        <color indexed="10"/>
      </left>
      <right style="thin">
        <color indexed="10"/>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10"/>
      </bottom>
    </border>
    <border>
      <left style="thin">
        <color indexed="10"/>
      </left>
      <right style="medium">
        <color indexed="8"/>
      </right>
      <top style="thin">
        <color indexed="8"/>
      </top>
      <bottom style="thin">
        <color indexed="10"/>
      </bottom>
    </border>
    <border>
      <left style="thin">
        <color indexed="10"/>
      </left>
      <right style="thin">
        <color indexed="10"/>
      </right>
      <top style="thin">
        <color indexed="10"/>
      </top>
      <bottom/>
    </border>
    <border>
      <left style="medium">
        <color indexed="8"/>
      </left>
      <right/>
      <top style="thin">
        <color indexed="10"/>
      </top>
      <bottom style="thin">
        <color indexed="10"/>
      </bottom>
    </border>
    <border>
      <left/>
      <right style="thin">
        <color indexed="10"/>
      </right>
      <top style="thin">
        <color indexed="10"/>
      </top>
      <bottom style="thin">
        <color indexed="10"/>
      </bottom>
    </border>
    <border>
      <left style="thin">
        <color indexed="10"/>
      </left>
      <right style="thin">
        <color indexed="10"/>
      </right>
      <top/>
      <bottom style="thin">
        <color indexed="10"/>
      </bottom>
    </border>
    <border>
      <left style="thin">
        <color indexed="10"/>
      </left>
      <right style="medium">
        <color indexed="8"/>
      </right>
      <top style="thin">
        <color indexed="10"/>
      </top>
      <bottom style="medium">
        <color indexed="8"/>
      </bottom>
    </border>
    <border>
      <left style="medium">
        <color indexed="8"/>
      </left>
      <right style="thin">
        <color indexed="10"/>
      </right>
      <top style="thin">
        <color indexed="10"/>
      </top>
      <bottom style="thin">
        <color indexed="8"/>
      </bottom>
    </border>
    <border>
      <left style="thin">
        <color indexed="10"/>
      </left>
      <right style="thin">
        <color indexed="10"/>
      </right>
      <top style="thin">
        <color indexed="10"/>
      </top>
      <bottom style="thin">
        <color indexed="8"/>
      </bottom>
    </border>
    <border>
      <left style="thin">
        <color indexed="10"/>
      </left>
      <right style="medium">
        <color indexed="8"/>
      </right>
      <top style="thin">
        <color indexed="10"/>
      </top>
      <bottom style="thin">
        <color indexed="8"/>
      </bottom>
    </border>
    <border>
      <left style="thin">
        <color indexed="8"/>
      </left>
      <right/>
      <top style="thin">
        <color indexed="8"/>
      </top>
      <bottom style="thin">
        <color indexed="8"/>
      </bottom>
    </border>
    <border>
      <left/>
      <right style="thin">
        <color indexed="10"/>
      </right>
      <top style="thin">
        <color indexed="8"/>
      </top>
      <bottom style="thin">
        <color indexed="8"/>
      </bottom>
    </border>
    <border>
      <left style="thin">
        <color indexed="10"/>
      </left>
      <right/>
      <top style="thin">
        <color indexed="8"/>
      </top>
      <bottom style="thin">
        <color indexed="10"/>
      </bottom>
    </border>
    <border>
      <left/>
      <right/>
      <top style="thin">
        <color indexed="8"/>
      </top>
      <bottom/>
    </border>
    <border>
      <left/>
      <right style="thin">
        <color indexed="10"/>
      </right>
      <top style="thin">
        <color indexed="8"/>
      </top>
      <bottom style="thin">
        <color indexed="10"/>
      </bottom>
    </border>
    <border>
      <left style="thin">
        <color indexed="10"/>
      </left>
      <right/>
      <top style="thin">
        <color indexed="10"/>
      </top>
      <bottom style="thin">
        <color indexed="10"/>
      </bottom>
    </border>
    <border>
      <left style="thin">
        <color indexed="10"/>
      </left>
      <right style="thin">
        <color indexed="10"/>
      </right>
      <top style="thin">
        <color indexed="10"/>
      </top>
      <bottom style="medium">
        <color indexed="8"/>
      </bottom>
    </border>
    <border>
      <left style="thin">
        <color indexed="10"/>
      </left>
      <right style="medium">
        <color indexed="8"/>
      </right>
      <top style="thin">
        <color indexed="8"/>
      </top>
      <bottom style="thin">
        <color indexed="8"/>
      </bottom>
    </border>
    <border>
      <left style="medium">
        <color indexed="8"/>
      </left>
      <right style="thin">
        <color indexed="10"/>
      </right>
      <top style="thin">
        <color indexed="10"/>
      </top>
      <bottom style="medium">
        <color indexed="8"/>
      </bottom>
    </border>
    <border>
      <left style="medium">
        <color indexed="8"/>
      </left>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10"/>
      </right>
      <top style="medium">
        <color indexed="8"/>
      </top>
      <bottom style="thin">
        <color indexed="8"/>
      </bottom>
    </border>
    <border>
      <left style="medium">
        <color indexed="8"/>
      </left>
      <right style="thin">
        <color indexed="10"/>
      </right>
      <top style="thin">
        <color indexed="8"/>
      </top>
      <bottom style="thin">
        <color indexed="8"/>
      </bottom>
    </border>
    <border>
      <left style="thin">
        <color indexed="10"/>
      </left>
      <right/>
      <top style="thin">
        <color indexed="8"/>
      </top>
      <bottom style="thin">
        <color indexed="8"/>
      </bottom>
    </border>
    <border>
      <left/>
      <right style="medium">
        <color indexed="8"/>
      </right>
      <top style="thin">
        <color indexed="8"/>
      </top>
      <bottom style="thin">
        <color indexed="8"/>
      </bottom>
    </border>
    <border>
      <left style="medium">
        <color indexed="8"/>
      </left>
      <right style="thin">
        <color indexed="10"/>
      </right>
      <top style="thin">
        <color indexed="10"/>
      </top>
      <bottom style="thick">
        <color indexed="8"/>
      </bottom>
    </border>
    <border>
      <left style="thin">
        <color indexed="10"/>
      </left>
      <right style="thin">
        <color indexed="10"/>
      </right>
      <top style="thin">
        <color indexed="10"/>
      </top>
      <bottom style="thick">
        <color indexed="8"/>
      </bottom>
    </border>
    <border>
      <left style="thin">
        <color indexed="10"/>
      </left>
      <right style="medium">
        <color indexed="8"/>
      </right>
      <top style="thin">
        <color indexed="10"/>
      </top>
      <bottom style="thick">
        <color indexed="8"/>
      </bottom>
    </border>
    <border>
      <left style="thick">
        <color indexed="8"/>
      </left>
      <right/>
      <top style="thick">
        <color indexed="8"/>
      </top>
      <bottom style="thick">
        <color indexed="8"/>
      </bottom>
    </border>
    <border>
      <left/>
      <right/>
      <top style="thick">
        <color indexed="8"/>
      </top>
      <bottom style="thick">
        <color indexed="8"/>
      </bottom>
    </border>
    <border>
      <left/>
      <right style="thin">
        <color indexed="10"/>
      </right>
      <top style="thick">
        <color indexed="8"/>
      </top>
      <bottom style="thick">
        <color indexed="8"/>
      </bottom>
    </border>
    <border>
      <left style="thin">
        <color indexed="10"/>
      </left>
      <right style="thin">
        <color indexed="10"/>
      </right>
      <top style="thick">
        <color indexed="8"/>
      </top>
      <bottom style="thick">
        <color indexed="8"/>
      </bottom>
    </border>
    <border>
      <left style="thin">
        <color indexed="10"/>
      </left>
      <right/>
      <top style="thick">
        <color indexed="8"/>
      </top>
      <bottom style="thick">
        <color indexed="8"/>
      </bottom>
    </border>
    <border>
      <left/>
      <right style="thick">
        <color indexed="8"/>
      </right>
      <top style="thick">
        <color indexed="8"/>
      </top>
      <bottom style="thick">
        <color indexed="8"/>
      </bottom>
    </border>
    <border>
      <left style="thin">
        <color indexed="10"/>
      </left>
      <right style="thin">
        <color indexed="10"/>
      </right>
      <top style="medium">
        <color indexed="8"/>
      </top>
      <bottom style="thin">
        <color indexed="10"/>
      </bottom>
    </border>
    <border>
      <left style="thin">
        <color indexed="8"/>
      </left>
      <right style="thin">
        <color indexed="8"/>
      </right>
      <top style="thin">
        <color indexed="10"/>
      </top>
      <bottom style="thin">
        <color indexed="10"/>
      </bottom>
    </border>
    <border>
      <left style="thin">
        <color indexed="8"/>
      </left>
      <right style="thin">
        <color indexed="10"/>
      </right>
      <top style="thin">
        <color indexed="10"/>
      </top>
      <bottom style="thin">
        <color indexed="10"/>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10"/>
      </left>
      <right style="thin">
        <color indexed="8"/>
      </right>
      <top style="thin">
        <color indexed="10"/>
      </top>
      <bottom style="thin">
        <color indexed="8"/>
      </bottom>
    </border>
    <border>
      <left style="thin">
        <color indexed="10"/>
      </left>
      <right style="thin">
        <color indexed="8"/>
      </right>
      <top style="thin">
        <color indexed="10"/>
      </top>
      <bottom style="thin">
        <color indexed="10"/>
      </bottom>
    </border>
    <border>
      <left style="thin">
        <color indexed="8"/>
      </left>
      <right style="thin">
        <color indexed="10"/>
      </right>
      <top style="thin">
        <color indexed="10"/>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style="thin">
        <color indexed="10"/>
      </right>
      <top/>
      <bottom style="thin">
        <color indexed="8"/>
      </bottom>
    </border>
    <border>
      <left style="thin">
        <color indexed="10"/>
      </left>
      <right style="thin">
        <color indexed="10"/>
      </right>
      <top/>
      <bottom style="thin">
        <color indexed="8"/>
      </bottom>
    </border>
    <border>
      <left style="thin">
        <color indexed="10"/>
      </left>
      <right style="thin">
        <color indexed="8"/>
      </right>
      <top/>
      <bottom style="thin">
        <color indexed="8"/>
      </bottom>
    </border>
    <border>
      <left style="thin">
        <color indexed="10"/>
      </left>
      <right style="thin">
        <color indexed="8"/>
      </right>
      <top/>
      <bottom style="thin">
        <color indexed="10"/>
      </bottom>
    </border>
    <border>
      <left style="thin">
        <color indexed="10"/>
      </left>
      <right style="thin">
        <color indexed="8"/>
      </right>
      <top style="thin">
        <color indexed="10"/>
      </top>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10"/>
      </bottom>
    </border>
    <border>
      <left style="thin">
        <color indexed="10"/>
      </left>
      <right/>
      <top style="medium">
        <color indexed="8"/>
      </top>
      <bottom style="thin">
        <color indexed="10"/>
      </bottom>
    </border>
    <border>
      <left/>
      <right/>
      <top style="medium">
        <color indexed="8"/>
      </top>
      <bottom/>
    </border>
    <border>
      <left/>
      <right style="thin">
        <color indexed="8"/>
      </right>
      <top style="medium">
        <color indexed="8"/>
      </top>
      <bottom/>
    </border>
    <border>
      <left style="thin">
        <color indexed="10"/>
      </left>
      <right style="thin">
        <color indexed="10"/>
      </right>
      <top/>
      <bottom style="medium">
        <color indexed="8"/>
      </bottom>
    </border>
    <border>
      <left style="medium">
        <color indexed="8"/>
      </left>
      <right style="thin">
        <color indexed="10"/>
      </right>
      <top style="medium">
        <color indexed="8"/>
      </top>
      <bottom style="medium">
        <color indexed="8"/>
      </bottom>
    </border>
    <border>
      <left style="thin">
        <color indexed="10"/>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style="thin">
        <color indexed="10"/>
      </top>
      <bottom style="thin">
        <color indexed="10"/>
      </bottom>
    </border>
    <border>
      <left style="medium">
        <color indexed="8"/>
      </left>
      <right/>
      <top style="medium">
        <color indexed="8"/>
      </top>
      <bottom style="medium">
        <color indexed="8"/>
      </bottom>
    </border>
    <border>
      <left style="thin">
        <color indexed="10"/>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10"/>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thin">
        <color indexed="8"/>
      </right>
      <top style="thin">
        <color indexed="10"/>
      </top>
      <bottom style="thin">
        <color indexed="10"/>
      </bottom>
    </border>
    <border>
      <left/>
      <right/>
      <top/>
      <bottom style="hair">
        <color indexed="16"/>
      </bottom>
    </border>
    <border>
      <left/>
      <right/>
      <top style="hair">
        <color indexed="16"/>
      </top>
      <bottom/>
    </border>
    <border>
      <left/>
      <right/>
      <top style="hair">
        <color indexed="16"/>
      </top>
      <bottom style="hair">
        <color indexed="16"/>
      </bottom>
    </border>
    <border>
      <left/>
      <right style="hair">
        <color indexed="16"/>
      </right>
      <top/>
      <bottom/>
    </border>
    <border>
      <left style="hair">
        <color indexed="16"/>
      </left>
      <right style="hair">
        <color indexed="16"/>
      </right>
      <top/>
      <bottom/>
    </border>
    <border>
      <left style="hair">
        <color indexed="16"/>
      </left>
      <right/>
      <top/>
      <bottom/>
    </border>
    <border>
      <left style="hair">
        <color indexed="16"/>
      </left>
      <right/>
      <top style="hair">
        <color indexed="16"/>
      </top>
      <bottom/>
    </border>
    <border>
      <left/>
      <right style="hair">
        <color indexed="16"/>
      </right>
      <top style="hair">
        <color indexed="16"/>
      </top>
      <bottom/>
    </border>
    <border>
      <left style="hair">
        <color indexed="16"/>
      </left>
      <right style="hair">
        <color indexed="16"/>
      </right>
      <top style="hair">
        <color indexed="16"/>
      </top>
      <bottom style="hair">
        <color indexed="16"/>
      </bottom>
    </border>
    <border>
      <left style="hair">
        <color indexed="16"/>
      </left>
      <right/>
      <top/>
      <bottom style="hair">
        <color indexed="16"/>
      </bottom>
    </border>
    <border>
      <left/>
      <right style="hair">
        <color indexed="16"/>
      </right>
      <top/>
      <bottom style="hair">
        <color indexed="16"/>
      </bottom>
    </border>
    <border>
      <left style="thin">
        <color indexed="8"/>
      </left>
      <right>
        <color indexed="63"/>
      </right>
      <top style="thin">
        <color indexed="10"/>
      </top>
      <bottom style="thin">
        <color indexed="10"/>
      </bottom>
    </border>
    <border>
      <left style="thin">
        <color indexed="10"/>
      </left>
      <right style="thin">
        <color indexed="8"/>
      </right>
      <top/>
      <bottom style="medium">
        <color indexed="8"/>
      </bottom>
    </border>
    <border>
      <left style="thin">
        <color indexed="10"/>
      </left>
      <right style="thin">
        <color indexed="8"/>
      </right>
      <top style="medium">
        <color indexed="8"/>
      </top>
      <bottom style="thin">
        <color indexed="10"/>
      </bottom>
    </border>
    <border>
      <left/>
      <right/>
      <top/>
      <bottom style="thin">
        <color indexed="8"/>
      </bottom>
    </border>
    <border>
      <left>
        <color indexed="63"/>
      </left>
      <right style="thin">
        <color indexed="10"/>
      </right>
      <top>
        <color indexed="63"/>
      </top>
      <bottom style="thin">
        <color indexed="8"/>
      </bottom>
    </border>
    <border>
      <left style="thin">
        <color indexed="10"/>
      </left>
      <right>
        <color indexed="63"/>
      </right>
      <top>
        <color indexed="63"/>
      </top>
      <bottom style="thin">
        <color indexed="8"/>
      </bottom>
    </border>
    <border>
      <left style="thin">
        <color indexed="10"/>
      </left>
      <right style="thin">
        <color indexed="10"/>
      </right>
      <top style="medium">
        <color indexed="8"/>
      </top>
      <bottom style="thin"/>
    </border>
    <border>
      <left style="thin">
        <color indexed="10"/>
      </left>
      <right style="medium">
        <color indexed="8"/>
      </right>
      <top>
        <color indexed="63"/>
      </top>
      <bottom style="thin">
        <color indexed="8"/>
      </bottom>
    </border>
    <border>
      <left style="medium">
        <color indexed="8"/>
      </left>
      <right style="medium">
        <color indexed="8"/>
      </right>
      <top style="medium">
        <color indexed="8"/>
      </top>
      <bottom style="medium"/>
    </border>
    <border>
      <left/>
      <right style="thin">
        <color indexed="8"/>
      </right>
      <top/>
      <bottom style="thin">
        <color indexed="8"/>
      </bottom>
    </border>
    <border>
      <left style="thin">
        <color indexed="10"/>
      </left>
      <right style="medium">
        <color indexed="8"/>
      </right>
      <top style="medium">
        <color indexed="8"/>
      </top>
      <bottom style="thin"/>
    </border>
    <border>
      <left style="medium">
        <color indexed="8"/>
      </left>
      <right style="thin">
        <color indexed="10"/>
      </right>
      <top>
        <color indexed="63"/>
      </top>
      <bottom style="thin">
        <color indexed="10"/>
      </bottom>
    </border>
    <border>
      <left/>
      <right style="thin">
        <color indexed="8"/>
      </right>
      <top style="thin">
        <color indexed="8"/>
      </top>
      <bottom style="thin"/>
    </border>
    <border>
      <left style="thin">
        <color indexed="10"/>
      </left>
      <right style="medium">
        <color indexed="8"/>
      </right>
      <top>
        <color indexed="63"/>
      </top>
      <bottom style="thin">
        <color indexed="10"/>
      </bottom>
    </border>
    <border>
      <left style="thin">
        <color indexed="8"/>
      </left>
      <right style="thin">
        <color indexed="10"/>
      </right>
      <top style="thin">
        <color indexed="10"/>
      </top>
      <bottom>
        <color indexed="63"/>
      </bottom>
    </border>
    <border>
      <left style="thin"/>
      <right style="thin">
        <color indexed="10"/>
      </right>
      <top style="thin">
        <color indexed="10"/>
      </top>
      <bottom style="thin">
        <color indexed="10"/>
      </bottom>
    </border>
    <border>
      <left>
        <color indexed="63"/>
      </left>
      <right style="thin">
        <color indexed="8"/>
      </right>
      <top style="thin">
        <color indexed="10"/>
      </top>
      <bottom style="thin">
        <color indexed="10"/>
      </bottom>
    </border>
    <border>
      <left>
        <color indexed="63"/>
      </left>
      <right/>
      <top style="thin">
        <color indexed="10"/>
      </top>
      <bottom style="thin">
        <color indexed="10"/>
      </bottom>
    </border>
    <border>
      <left style="thin">
        <color indexed="10"/>
      </left>
      <right style="thin"/>
      <top style="thin">
        <color indexed="10"/>
      </top>
      <bottom style="thin">
        <color indexed="10"/>
      </bottom>
    </border>
    <border>
      <left/>
      <right style="thin">
        <color indexed="10"/>
      </right>
      <top style="thin">
        <color indexed="10"/>
      </top>
      <bottom>
        <color indexed="63"/>
      </bottom>
    </border>
    <border>
      <left style="thin">
        <color indexed="8"/>
      </left>
      <right style="thin">
        <color indexed="8"/>
      </right>
      <top>
        <color indexed="63"/>
      </top>
      <bottom style="thin">
        <color indexed="10"/>
      </bottom>
    </border>
    <border>
      <left style="thin">
        <color indexed="8"/>
      </left>
      <right style="thin">
        <color indexed="10"/>
      </right>
      <top>
        <color indexed="63"/>
      </top>
      <bottom style="thin">
        <color indexed="10"/>
      </bottom>
    </border>
    <border>
      <left style="thin">
        <color indexed="10"/>
      </left>
      <right style="medium">
        <color indexed="8"/>
      </right>
      <top style="thin">
        <color indexed="10"/>
      </top>
      <bottom>
        <color indexed="63"/>
      </bottom>
    </border>
    <border>
      <left style="thin">
        <color indexed="10"/>
      </left>
      <right style="thin">
        <color indexed="10"/>
      </right>
      <top style="thin">
        <color indexed="8"/>
      </top>
      <bottom>
        <color indexed="63"/>
      </bottom>
    </border>
    <border>
      <left style="thin"/>
      <right style="thin"/>
      <top style="thin"/>
      <bottom style="thin"/>
    </border>
    <border>
      <left style="thin">
        <color indexed="10"/>
      </left>
      <right style="thin">
        <color indexed="10"/>
      </right>
      <top/>
      <bottom/>
    </border>
    <border>
      <left style="thin"/>
      <right style="thin"/>
      <top style="thin"/>
      <bottom style="thin">
        <color indexed="10"/>
      </bottom>
    </border>
    <border>
      <left style="thin"/>
      <right style="thin"/>
      <top style="thin">
        <color indexed="10"/>
      </top>
      <bottom style="thin">
        <color indexed="10"/>
      </bottom>
    </border>
    <border>
      <left style="thin"/>
      <right style="thin"/>
      <top style="thin">
        <color indexed="10"/>
      </top>
      <bottom style="thin"/>
    </border>
    <border>
      <left style="thin"/>
      <right>
        <color indexed="63"/>
      </right>
      <top style="thin"/>
      <bottom style="thin"/>
    </border>
    <border>
      <left>
        <color indexed="63"/>
      </left>
      <right>
        <color indexed="63"/>
      </right>
      <top style="thin"/>
      <bottom style="thin"/>
    </border>
    <border>
      <left style="thin"/>
      <right style="thin">
        <color indexed="10"/>
      </right>
      <top style="thin"/>
      <bottom style="thin"/>
    </border>
    <border>
      <left style="thin">
        <color indexed="10"/>
      </left>
      <right style="thin"/>
      <top style="thin"/>
      <bottom style="thin"/>
    </border>
    <border>
      <left style="thin">
        <color indexed="10"/>
      </left>
      <right style="thin">
        <color indexed="10"/>
      </right>
      <top style="thin"/>
      <bottom style="thin"/>
    </border>
    <border>
      <left style="thin">
        <color indexed="8"/>
      </left>
      <right>
        <color indexed="63"/>
      </right>
      <top>
        <color indexed="63"/>
      </top>
      <bottom style="thin">
        <color indexed="10"/>
      </bottom>
    </border>
    <border>
      <left style="thin"/>
      <right style="thin">
        <color indexed="8"/>
      </right>
      <top style="thin"/>
      <bottom style="thin"/>
    </border>
    <border>
      <left style="thin">
        <color indexed="8"/>
      </left>
      <right style="thin">
        <color indexed="10"/>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indexed="10"/>
      </left>
      <right style="thin">
        <color indexed="10"/>
      </right>
      <top style="medium"/>
      <bottom style="medium"/>
    </border>
    <border>
      <left style="thin">
        <color indexed="10"/>
      </left>
      <right style="medium"/>
      <top style="medium"/>
      <bottom style="medium"/>
    </border>
    <border>
      <left style="thin">
        <color indexed="8"/>
      </left>
      <right style="thin">
        <color indexed="8"/>
      </right>
      <top style="thin"/>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thin">
        <color indexed="10"/>
      </right>
      <top style="medium"/>
      <bottom style="medium"/>
    </border>
    <border>
      <left style="thin">
        <color indexed="8"/>
      </left>
      <right>
        <color indexed="63"/>
      </right>
      <top style="thin"/>
      <bottom style="thin"/>
    </border>
    <border>
      <left style="thin"/>
      <right style="thin">
        <color indexed="10"/>
      </right>
      <top style="medium"/>
      <bottom/>
    </border>
    <border>
      <left style="medium">
        <color indexed="8"/>
      </left>
      <right style="thin">
        <color indexed="10"/>
      </right>
      <top style="medium">
        <color indexed="8"/>
      </top>
      <bottom style="thin">
        <color indexed="10"/>
      </bottom>
    </border>
    <border>
      <left style="thin">
        <color indexed="10"/>
      </left>
      <right style="medium">
        <color indexed="8"/>
      </right>
      <top style="medium">
        <color indexed="8"/>
      </top>
      <bottom style="thin">
        <color indexed="10"/>
      </bottom>
    </border>
    <border>
      <left style="hair">
        <color indexed="16"/>
      </left>
      <right style="thin">
        <color indexed="10"/>
      </right>
      <top style="hair">
        <color indexed="16"/>
      </top>
      <bottom style="hair">
        <color indexed="16"/>
      </bottom>
    </border>
    <border>
      <left style="thin">
        <color indexed="10"/>
      </left>
      <right style="hair">
        <color indexed="16"/>
      </right>
      <top style="hair">
        <color indexed="16"/>
      </top>
      <bottom style="hair">
        <color indexed="16"/>
      </bottom>
    </border>
    <border>
      <left style="thin">
        <color indexed="10"/>
      </left>
      <right style="thin">
        <color indexed="10"/>
      </right>
      <top style="hair">
        <color indexed="16"/>
      </top>
      <bottom style="hair">
        <color indexed="16"/>
      </bottom>
    </border>
    <border>
      <left/>
      <right style="thin">
        <color indexed="10"/>
      </right>
      <top/>
      <bottom/>
    </border>
    <border>
      <left style="thin">
        <color indexed="10"/>
      </left>
      <right/>
      <top/>
      <bottom/>
    </border>
  </borders>
  <cellStyleXfs count="62">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33">
    <xf numFmtId="0" fontId="0" fillId="0" borderId="0" xfId="0" applyFont="1" applyAlignment="1">
      <alignment vertical="top" wrapText="1"/>
    </xf>
    <xf numFmtId="0" fontId="2" fillId="0" borderId="0" xfId="0" applyNumberFormat="1" applyFont="1" applyAlignment="1">
      <alignment/>
    </xf>
    <xf numFmtId="1" fontId="2" fillId="0" borderId="10" xfId="0" applyNumberFormat="1" applyFont="1" applyBorder="1" applyAlignment="1">
      <alignment/>
    </xf>
    <xf numFmtId="1" fontId="2" fillId="0" borderId="11" xfId="0" applyNumberFormat="1" applyFont="1" applyBorder="1" applyAlignment="1">
      <alignment/>
    </xf>
    <xf numFmtId="0" fontId="2" fillId="0" borderId="11" xfId="0" applyFont="1" applyBorder="1" applyAlignment="1">
      <alignment/>
    </xf>
    <xf numFmtId="164" fontId="2" fillId="0" borderId="12" xfId="0" applyNumberFormat="1" applyFont="1" applyBorder="1" applyAlignment="1">
      <alignment/>
    </xf>
    <xf numFmtId="0" fontId="4" fillId="0" borderId="13" xfId="0" applyNumberFormat="1" applyFont="1" applyBorder="1" applyAlignment="1">
      <alignment horizontal="left" vertical="center"/>
    </xf>
    <xf numFmtId="1" fontId="2" fillId="0" borderId="14" xfId="0" applyNumberFormat="1" applyFont="1" applyBorder="1" applyAlignment="1">
      <alignment/>
    </xf>
    <xf numFmtId="164" fontId="4" fillId="33" borderId="15" xfId="0" applyNumberFormat="1" applyFont="1" applyFill="1" applyBorder="1" applyAlignment="1">
      <alignment/>
    </xf>
    <xf numFmtId="0" fontId="4" fillId="34" borderId="16" xfId="0" applyNumberFormat="1" applyFont="1" applyFill="1" applyBorder="1" applyAlignment="1">
      <alignment/>
    </xf>
    <xf numFmtId="1" fontId="4" fillId="34" borderId="17" xfId="0" applyNumberFormat="1" applyFont="1" applyFill="1" applyBorder="1" applyAlignment="1">
      <alignment/>
    </xf>
    <xf numFmtId="1" fontId="2" fillId="0" borderId="18" xfId="0" applyNumberFormat="1" applyFont="1" applyBorder="1" applyAlignment="1">
      <alignment/>
    </xf>
    <xf numFmtId="1" fontId="2" fillId="0" borderId="19" xfId="0" applyNumberFormat="1" applyFont="1" applyBorder="1" applyAlignment="1">
      <alignment/>
    </xf>
    <xf numFmtId="164" fontId="2" fillId="0" borderId="19" xfId="0" applyNumberFormat="1" applyFont="1" applyBorder="1" applyAlignment="1">
      <alignment/>
    </xf>
    <xf numFmtId="164" fontId="2" fillId="0" borderId="20" xfId="0" applyNumberFormat="1" applyFont="1" applyBorder="1" applyAlignment="1">
      <alignment/>
    </xf>
    <xf numFmtId="1" fontId="4" fillId="0" borderId="21" xfId="0" applyNumberFormat="1" applyFont="1" applyBorder="1" applyAlignment="1">
      <alignment vertical="center"/>
    </xf>
    <xf numFmtId="0" fontId="2" fillId="0" borderId="22" xfId="0" applyNumberFormat="1" applyFont="1" applyBorder="1" applyAlignment="1">
      <alignment/>
    </xf>
    <xf numFmtId="1" fontId="2" fillId="0" borderId="22" xfId="0" applyNumberFormat="1" applyFont="1" applyBorder="1" applyAlignment="1">
      <alignment/>
    </xf>
    <xf numFmtId="167" fontId="2" fillId="0" borderId="22" xfId="0" applyNumberFormat="1" applyFont="1" applyBorder="1" applyAlignment="1">
      <alignment/>
    </xf>
    <xf numFmtId="164" fontId="2" fillId="0" borderId="22" xfId="0" applyNumberFormat="1" applyFont="1" applyBorder="1" applyAlignment="1">
      <alignment/>
    </xf>
    <xf numFmtId="0" fontId="2" fillId="0" borderId="22" xfId="0" applyFont="1" applyBorder="1" applyAlignment="1">
      <alignment/>
    </xf>
    <xf numFmtId="164" fontId="2" fillId="0" borderId="23" xfId="0" applyNumberFormat="1" applyFont="1" applyBorder="1" applyAlignment="1">
      <alignment/>
    </xf>
    <xf numFmtId="1" fontId="4" fillId="0" borderId="10" xfId="0" applyNumberFormat="1" applyFont="1" applyBorder="1" applyAlignment="1">
      <alignment vertical="center"/>
    </xf>
    <xf numFmtId="0" fontId="2" fillId="0" borderId="11" xfId="0" applyNumberFormat="1" applyFont="1" applyBorder="1" applyAlignment="1">
      <alignment/>
    </xf>
    <xf numFmtId="168" fontId="2" fillId="0" borderId="11" xfId="0" applyNumberFormat="1" applyFont="1" applyBorder="1" applyAlignment="1">
      <alignment/>
    </xf>
    <xf numFmtId="164" fontId="2" fillId="0" borderId="11" xfId="0" applyNumberFormat="1" applyFont="1" applyBorder="1" applyAlignment="1">
      <alignment/>
    </xf>
    <xf numFmtId="0" fontId="2" fillId="0" borderId="24" xfId="0" applyNumberFormat="1" applyFont="1" applyBorder="1" applyAlignment="1">
      <alignment/>
    </xf>
    <xf numFmtId="169" fontId="2" fillId="0" borderId="24" xfId="0" applyNumberFormat="1" applyFont="1" applyBorder="1" applyAlignment="1">
      <alignment/>
    </xf>
    <xf numFmtId="1" fontId="2" fillId="0" borderId="24" xfId="0" applyNumberFormat="1" applyFont="1" applyBorder="1" applyAlignment="1">
      <alignment/>
    </xf>
    <xf numFmtId="168" fontId="2" fillId="0" borderId="24" xfId="0" applyNumberFormat="1" applyFont="1" applyBorder="1" applyAlignment="1">
      <alignment/>
    </xf>
    <xf numFmtId="164" fontId="2" fillId="0" borderId="24" xfId="0" applyNumberFormat="1" applyFont="1" applyBorder="1" applyAlignment="1">
      <alignment/>
    </xf>
    <xf numFmtId="1" fontId="4" fillId="0" borderId="25" xfId="0" applyNumberFormat="1" applyFont="1" applyBorder="1" applyAlignment="1">
      <alignment vertical="center"/>
    </xf>
    <xf numFmtId="0" fontId="4" fillId="34" borderId="0" xfId="0" applyNumberFormat="1" applyFont="1" applyFill="1" applyBorder="1" applyAlignment="1">
      <alignment/>
    </xf>
    <xf numFmtId="169" fontId="4" fillId="34" borderId="0" xfId="0" applyNumberFormat="1" applyFont="1" applyFill="1" applyBorder="1" applyAlignment="1">
      <alignment/>
    </xf>
    <xf numFmtId="1" fontId="4" fillId="34" borderId="0" xfId="0" applyNumberFormat="1" applyFont="1" applyFill="1" applyBorder="1" applyAlignment="1">
      <alignment/>
    </xf>
    <xf numFmtId="164" fontId="4" fillId="34" borderId="0" xfId="0" applyNumberFormat="1" applyFont="1" applyFill="1" applyBorder="1" applyAlignment="1">
      <alignment/>
    </xf>
    <xf numFmtId="0" fontId="2" fillId="0" borderId="26" xfId="0" applyFont="1" applyBorder="1" applyAlignment="1">
      <alignment/>
    </xf>
    <xf numFmtId="0" fontId="2" fillId="34" borderId="0" xfId="0" applyNumberFormat="1" applyFont="1" applyFill="1" applyBorder="1" applyAlignment="1">
      <alignment/>
    </xf>
    <xf numFmtId="169" fontId="2" fillId="34" borderId="0" xfId="0" applyNumberFormat="1" applyFont="1" applyFill="1" applyBorder="1" applyAlignment="1">
      <alignment/>
    </xf>
    <xf numFmtId="1" fontId="2" fillId="34" borderId="0" xfId="0" applyNumberFormat="1" applyFont="1" applyFill="1" applyBorder="1" applyAlignment="1">
      <alignment/>
    </xf>
    <xf numFmtId="164" fontId="2" fillId="34" borderId="0" xfId="0" applyNumberFormat="1" applyFont="1" applyFill="1" applyBorder="1" applyAlignment="1">
      <alignment/>
    </xf>
    <xf numFmtId="1" fontId="2" fillId="0" borderId="27" xfId="0" applyNumberFormat="1" applyFont="1" applyBorder="1" applyAlignment="1">
      <alignment/>
    </xf>
    <xf numFmtId="0" fontId="2" fillId="0" borderId="27" xfId="0" applyFont="1" applyBorder="1" applyAlignment="1">
      <alignment/>
    </xf>
    <xf numFmtId="164" fontId="2" fillId="0" borderId="28" xfId="0" applyNumberFormat="1" applyFont="1" applyBorder="1" applyAlignment="1">
      <alignment/>
    </xf>
    <xf numFmtId="1" fontId="2" fillId="0" borderId="29" xfId="0" applyNumberFormat="1" applyFont="1" applyBorder="1" applyAlignment="1">
      <alignment/>
    </xf>
    <xf numFmtId="0" fontId="4" fillId="0" borderId="30" xfId="0" applyNumberFormat="1" applyFont="1" applyBorder="1" applyAlignment="1">
      <alignment horizontal="right"/>
    </xf>
    <xf numFmtId="1" fontId="2" fillId="0" borderId="30" xfId="0" applyNumberFormat="1" applyFont="1" applyBorder="1" applyAlignment="1">
      <alignment/>
    </xf>
    <xf numFmtId="0" fontId="2" fillId="0" borderId="30" xfId="0" applyFont="1" applyBorder="1" applyAlignment="1">
      <alignment/>
    </xf>
    <xf numFmtId="0" fontId="2" fillId="0" borderId="31" xfId="0" applyFont="1" applyBorder="1" applyAlignment="1">
      <alignment/>
    </xf>
    <xf numFmtId="1" fontId="4" fillId="0" borderId="21" xfId="0" applyNumberFormat="1" applyFont="1" applyBorder="1" applyAlignment="1">
      <alignment/>
    </xf>
    <xf numFmtId="10" fontId="2" fillId="0" borderId="22" xfId="0" applyNumberFormat="1" applyFont="1" applyBorder="1" applyAlignment="1">
      <alignment/>
    </xf>
    <xf numFmtId="1" fontId="4" fillId="0" borderId="10" xfId="0" applyNumberFormat="1" applyFont="1" applyBorder="1" applyAlignment="1">
      <alignment/>
    </xf>
    <xf numFmtId="10" fontId="2" fillId="0" borderId="11" xfId="0" applyNumberFormat="1" applyFont="1" applyBorder="1" applyAlignment="1">
      <alignment/>
    </xf>
    <xf numFmtId="164" fontId="2" fillId="0" borderId="11" xfId="0" applyNumberFormat="1" applyFont="1" applyBorder="1" applyAlignment="1">
      <alignment horizontal="left"/>
    </xf>
    <xf numFmtId="1" fontId="2" fillId="34" borderId="32" xfId="0" applyNumberFormat="1" applyFont="1" applyFill="1" applyBorder="1" applyAlignment="1">
      <alignment/>
    </xf>
    <xf numFmtId="1" fontId="2" fillId="0" borderId="33" xfId="0" applyNumberFormat="1" applyFont="1" applyBorder="1" applyAlignment="1">
      <alignment/>
    </xf>
    <xf numFmtId="0" fontId="2" fillId="0" borderId="34" xfId="0" applyNumberFormat="1" applyFont="1" applyBorder="1" applyAlignment="1">
      <alignment/>
    </xf>
    <xf numFmtId="169" fontId="2" fillId="34" borderId="35" xfId="0" applyNumberFormat="1" applyFont="1" applyFill="1" applyBorder="1" applyAlignment="1">
      <alignment/>
    </xf>
    <xf numFmtId="1" fontId="2" fillId="34" borderId="35" xfId="0" applyNumberFormat="1" applyFont="1" applyFill="1" applyBorder="1" applyAlignment="1">
      <alignment/>
    </xf>
    <xf numFmtId="164" fontId="2" fillId="34" borderId="35" xfId="0" applyNumberFormat="1" applyFont="1" applyFill="1" applyBorder="1" applyAlignment="1">
      <alignment/>
    </xf>
    <xf numFmtId="0" fontId="2" fillId="0" borderId="36" xfId="0" applyFont="1" applyBorder="1" applyAlignment="1">
      <alignment/>
    </xf>
    <xf numFmtId="0" fontId="2" fillId="0" borderId="27" xfId="0" applyNumberFormat="1" applyFont="1" applyBorder="1" applyAlignment="1">
      <alignment/>
    </xf>
    <xf numFmtId="0" fontId="6" fillId="0" borderId="11" xfId="0" applyNumberFormat="1" applyFont="1" applyBorder="1" applyAlignment="1">
      <alignment/>
    </xf>
    <xf numFmtId="1" fontId="4" fillId="0" borderId="29" xfId="0" applyNumberFormat="1" applyFont="1" applyBorder="1" applyAlignment="1">
      <alignment/>
    </xf>
    <xf numFmtId="9" fontId="2" fillId="34" borderId="35" xfId="0" applyNumberFormat="1" applyFont="1" applyFill="1" applyBorder="1" applyAlignment="1">
      <alignment/>
    </xf>
    <xf numFmtId="0" fontId="2" fillId="0" borderId="37" xfId="0" applyNumberFormat="1" applyFont="1" applyBorder="1" applyAlignment="1">
      <alignment/>
    </xf>
    <xf numFmtId="0" fontId="2" fillId="0" borderId="12" xfId="0" applyFont="1" applyBorder="1" applyAlignment="1">
      <alignment/>
    </xf>
    <xf numFmtId="1" fontId="2" fillId="0" borderId="38" xfId="0" applyNumberFormat="1" applyFont="1" applyBorder="1" applyAlignment="1">
      <alignment/>
    </xf>
    <xf numFmtId="164" fontId="2" fillId="0" borderId="38" xfId="0" applyNumberFormat="1" applyFont="1" applyBorder="1" applyAlignment="1">
      <alignment/>
    </xf>
    <xf numFmtId="164" fontId="2" fillId="0" borderId="14" xfId="0" applyNumberFormat="1" applyFont="1" applyBorder="1" applyAlignment="1">
      <alignment/>
    </xf>
    <xf numFmtId="164" fontId="2" fillId="0" borderId="39" xfId="0" applyNumberFormat="1" applyFont="1" applyBorder="1" applyAlignment="1">
      <alignment/>
    </xf>
    <xf numFmtId="169" fontId="2" fillId="0" borderId="22" xfId="0" applyNumberFormat="1" applyFont="1" applyBorder="1" applyAlignment="1">
      <alignment/>
    </xf>
    <xf numFmtId="0" fontId="7" fillId="0" borderId="10" xfId="0" applyNumberFormat="1" applyFont="1" applyBorder="1" applyAlignment="1">
      <alignment/>
    </xf>
    <xf numFmtId="1" fontId="4" fillId="0" borderId="11" xfId="0" applyNumberFormat="1" applyFont="1" applyBorder="1" applyAlignment="1">
      <alignment/>
    </xf>
    <xf numFmtId="3" fontId="2" fillId="0" borderId="11" xfId="0" applyNumberFormat="1" applyFont="1" applyBorder="1" applyAlignment="1">
      <alignment/>
    </xf>
    <xf numFmtId="0" fontId="7" fillId="0" borderId="11" xfId="0" applyNumberFormat="1" applyFont="1" applyBorder="1" applyAlignment="1">
      <alignment/>
    </xf>
    <xf numFmtId="1" fontId="2" fillId="34" borderId="17" xfId="0" applyNumberFormat="1" applyFont="1" applyFill="1" applyBorder="1" applyAlignment="1">
      <alignment/>
    </xf>
    <xf numFmtId="1" fontId="2" fillId="0" borderId="21" xfId="0" applyNumberFormat="1" applyFont="1" applyBorder="1" applyAlignment="1">
      <alignment/>
    </xf>
    <xf numFmtId="0" fontId="4" fillId="0" borderId="10" xfId="0" applyNumberFormat="1" applyFont="1" applyBorder="1" applyAlignment="1">
      <alignment/>
    </xf>
    <xf numFmtId="1" fontId="4" fillId="0" borderId="40" xfId="0" applyNumberFormat="1" applyFont="1" applyBorder="1" applyAlignment="1">
      <alignment/>
    </xf>
    <xf numFmtId="0" fontId="4" fillId="0" borderId="38" xfId="0" applyNumberFormat="1" applyFont="1" applyBorder="1" applyAlignment="1">
      <alignment horizontal="right"/>
    </xf>
    <xf numFmtId="0" fontId="4" fillId="34" borderId="41" xfId="0" applyNumberFormat="1" applyFont="1" applyFill="1" applyBorder="1" applyAlignment="1">
      <alignment/>
    </xf>
    <xf numFmtId="1" fontId="4" fillId="34" borderId="42" xfId="0" applyNumberFormat="1" applyFont="1" applyFill="1" applyBorder="1" applyAlignment="1">
      <alignment/>
    </xf>
    <xf numFmtId="1" fontId="2" fillId="0" borderId="43" xfId="0" applyNumberFormat="1" applyFont="1" applyBorder="1" applyAlignment="1">
      <alignment/>
    </xf>
    <xf numFmtId="169" fontId="2" fillId="0" borderId="11" xfId="0" applyNumberFormat="1" applyFont="1" applyBorder="1" applyAlignment="1">
      <alignment/>
    </xf>
    <xf numFmtId="1" fontId="2" fillId="0" borderId="40" xfId="0" applyNumberFormat="1" applyFont="1" applyBorder="1" applyAlignment="1">
      <alignment/>
    </xf>
    <xf numFmtId="1" fontId="2" fillId="0" borderId="13" xfId="0" applyNumberFormat="1" applyFont="1" applyBorder="1" applyAlignment="1">
      <alignment/>
    </xf>
    <xf numFmtId="0" fontId="2" fillId="0" borderId="14" xfId="0" applyFont="1" applyBorder="1" applyAlignment="1">
      <alignment/>
    </xf>
    <xf numFmtId="0" fontId="4" fillId="0" borderId="44" xfId="0" applyNumberFormat="1" applyFont="1" applyBorder="1" applyAlignment="1">
      <alignment/>
    </xf>
    <xf numFmtId="1" fontId="4" fillId="0" borderId="19" xfId="0" applyNumberFormat="1" applyFont="1" applyBorder="1" applyAlignment="1">
      <alignment/>
    </xf>
    <xf numFmtId="164" fontId="2" fillId="0" borderId="45" xfId="0" applyNumberFormat="1" applyFont="1" applyBorder="1" applyAlignment="1">
      <alignment/>
    </xf>
    <xf numFmtId="164" fontId="4" fillId="34" borderId="46" xfId="0" applyNumberFormat="1" applyFont="1" applyFill="1" applyBorder="1" applyAlignment="1">
      <alignment/>
    </xf>
    <xf numFmtId="1" fontId="2" fillId="0" borderId="47" xfId="0" applyNumberFormat="1" applyFont="1" applyBorder="1" applyAlignment="1">
      <alignment/>
    </xf>
    <xf numFmtId="1" fontId="2" fillId="0" borderId="48" xfId="0" applyNumberFormat="1" applyFont="1" applyBorder="1" applyAlignment="1">
      <alignment/>
    </xf>
    <xf numFmtId="0" fontId="2" fillId="0" borderId="48" xfId="0" applyFont="1" applyBorder="1" applyAlignment="1">
      <alignment/>
    </xf>
    <xf numFmtId="164" fontId="2" fillId="0" borderId="49" xfId="0" applyNumberFormat="1" applyFont="1" applyBorder="1" applyAlignment="1">
      <alignment/>
    </xf>
    <xf numFmtId="0" fontId="5" fillId="34" borderId="50" xfId="0" applyNumberFormat="1" applyFont="1" applyFill="1" applyBorder="1" applyAlignment="1">
      <alignment horizontal="left"/>
    </xf>
    <xf numFmtId="1" fontId="4" fillId="34" borderId="51" xfId="0" applyNumberFormat="1" applyFont="1" applyFill="1" applyBorder="1" applyAlignment="1">
      <alignment/>
    </xf>
    <xf numFmtId="1" fontId="2" fillId="0" borderId="52" xfId="0" applyNumberFormat="1" applyFont="1" applyBorder="1" applyAlignment="1">
      <alignment/>
    </xf>
    <xf numFmtId="1" fontId="2" fillId="0" borderId="53" xfId="0" applyNumberFormat="1" applyFont="1" applyBorder="1" applyAlignment="1">
      <alignment/>
    </xf>
    <xf numFmtId="164" fontId="2" fillId="0" borderId="53" xfId="0" applyNumberFormat="1" applyFont="1" applyBorder="1" applyAlignment="1">
      <alignment/>
    </xf>
    <xf numFmtId="164" fontId="2" fillId="0" borderId="54" xfId="0" applyNumberFormat="1" applyFont="1" applyBorder="1" applyAlignment="1">
      <alignment/>
    </xf>
    <xf numFmtId="164" fontId="5" fillId="33" borderId="55" xfId="0" applyNumberFormat="1" applyFont="1" applyFill="1" applyBorder="1" applyAlignment="1">
      <alignment/>
    </xf>
    <xf numFmtId="0" fontId="2" fillId="0" borderId="10" xfId="0" applyFont="1" applyBorder="1" applyAlignment="1">
      <alignment/>
    </xf>
    <xf numFmtId="1" fontId="8" fillId="0" borderId="10" xfId="0" applyNumberFormat="1" applyFont="1" applyBorder="1" applyAlignment="1">
      <alignment horizontal="center"/>
    </xf>
    <xf numFmtId="1" fontId="8" fillId="0" borderId="11" xfId="0" applyNumberFormat="1" applyFont="1" applyBorder="1" applyAlignment="1">
      <alignment horizontal="center"/>
    </xf>
    <xf numFmtId="1" fontId="4" fillId="0" borderId="12" xfId="0" applyNumberFormat="1" applyFont="1" applyBorder="1" applyAlignment="1">
      <alignment horizontal="center"/>
    </xf>
    <xf numFmtId="0" fontId="2" fillId="0" borderId="56" xfId="0" applyFont="1" applyBorder="1" applyAlignment="1">
      <alignment/>
    </xf>
    <xf numFmtId="0" fontId="2" fillId="0" borderId="57" xfId="0" applyFont="1" applyBorder="1" applyAlignment="1">
      <alignment/>
    </xf>
    <xf numFmtId="0" fontId="2" fillId="0" borderId="58" xfId="0" applyFont="1" applyBorder="1" applyAlignment="1">
      <alignment/>
    </xf>
    <xf numFmtId="0" fontId="2" fillId="0" borderId="59" xfId="0" applyNumberFormat="1" applyFont="1" applyBorder="1" applyAlignment="1">
      <alignment/>
    </xf>
    <xf numFmtId="1" fontId="2" fillId="0" borderId="22" xfId="0" applyNumberFormat="1" applyFont="1" applyBorder="1" applyAlignment="1">
      <alignment horizontal="right"/>
    </xf>
    <xf numFmtId="3" fontId="2" fillId="0" borderId="60" xfId="0" applyNumberFormat="1" applyFont="1" applyBorder="1" applyAlignment="1">
      <alignment horizontal="right"/>
    </xf>
    <xf numFmtId="1" fontId="9" fillId="0" borderId="59" xfId="0" applyNumberFormat="1" applyFont="1" applyBorder="1" applyAlignment="1">
      <alignment horizontal="right"/>
    </xf>
    <xf numFmtId="1" fontId="9" fillId="0" borderId="22" xfId="0" applyNumberFormat="1" applyFont="1" applyBorder="1" applyAlignment="1">
      <alignment horizontal="right"/>
    </xf>
    <xf numFmtId="1" fontId="9" fillId="0" borderId="60" xfId="0" applyNumberFormat="1" applyFont="1" applyBorder="1" applyAlignment="1">
      <alignment/>
    </xf>
    <xf numFmtId="1" fontId="2" fillId="0" borderId="30" xfId="0" applyNumberFormat="1" applyFont="1" applyBorder="1" applyAlignment="1">
      <alignment horizontal="right"/>
    </xf>
    <xf numFmtId="3" fontId="2" fillId="0" borderId="61" xfId="0" applyNumberFormat="1" applyFont="1" applyBorder="1" applyAlignment="1">
      <alignment horizontal="right"/>
    </xf>
    <xf numFmtId="0" fontId="2" fillId="0" borderId="58" xfId="0" applyNumberFormat="1" applyFont="1" applyBorder="1" applyAlignment="1">
      <alignment/>
    </xf>
    <xf numFmtId="10" fontId="2" fillId="0" borderId="62" xfId="0" applyNumberFormat="1" applyFont="1" applyBorder="1" applyAlignment="1">
      <alignment horizontal="right"/>
    </xf>
    <xf numFmtId="1" fontId="9" fillId="0" borderId="11" xfId="0" applyNumberFormat="1" applyFont="1" applyBorder="1" applyAlignment="1">
      <alignment/>
    </xf>
    <xf numFmtId="0" fontId="2" fillId="0" borderId="22" xfId="0" applyNumberFormat="1" applyFont="1" applyBorder="1" applyAlignment="1">
      <alignment horizontal="right"/>
    </xf>
    <xf numFmtId="164" fontId="2" fillId="0" borderId="57" xfId="0" applyNumberFormat="1" applyFont="1" applyBorder="1" applyAlignment="1">
      <alignment/>
    </xf>
    <xf numFmtId="0" fontId="2" fillId="0" borderId="62" xfId="0" applyNumberFormat="1" applyFont="1" applyBorder="1" applyAlignment="1">
      <alignment horizontal="right"/>
    </xf>
    <xf numFmtId="0" fontId="2" fillId="0" borderId="11" xfId="0" applyNumberFormat="1" applyFont="1" applyBorder="1" applyAlignment="1">
      <alignment horizontal="right"/>
    </xf>
    <xf numFmtId="3" fontId="2" fillId="0" borderId="62" xfId="0" applyNumberFormat="1" applyFont="1" applyBorder="1" applyAlignment="1">
      <alignment horizontal="right"/>
    </xf>
    <xf numFmtId="0" fontId="4" fillId="0" borderId="58" xfId="0" applyNumberFormat="1" applyFont="1" applyBorder="1" applyAlignment="1">
      <alignment/>
    </xf>
    <xf numFmtId="170" fontId="4" fillId="0" borderId="62" xfId="0" applyNumberFormat="1" applyFont="1" applyBorder="1" applyAlignment="1">
      <alignment horizontal="right"/>
    </xf>
    <xf numFmtId="167" fontId="2" fillId="0" borderId="11" xfId="0" applyNumberFormat="1" applyFont="1" applyBorder="1" applyAlignment="1">
      <alignment horizontal="right"/>
    </xf>
    <xf numFmtId="0" fontId="4" fillId="0" borderId="63" xfId="0" applyNumberFormat="1" applyFont="1" applyBorder="1" applyAlignment="1">
      <alignment/>
    </xf>
    <xf numFmtId="167" fontId="4" fillId="0" borderId="61" xfId="0" applyNumberFormat="1" applyFont="1" applyBorder="1" applyAlignment="1">
      <alignment horizontal="right"/>
    </xf>
    <xf numFmtId="0" fontId="2" fillId="0" borderId="19" xfId="0" applyFont="1" applyBorder="1" applyAlignment="1">
      <alignment/>
    </xf>
    <xf numFmtId="0" fontId="2" fillId="0" borderId="58" xfId="0" applyNumberFormat="1" applyFont="1" applyBorder="1" applyAlignment="1">
      <alignment horizontal="right"/>
    </xf>
    <xf numFmtId="9" fontId="2" fillId="0" borderId="11" xfId="0" applyNumberFormat="1" applyFont="1" applyBorder="1" applyAlignment="1">
      <alignment horizontal="left"/>
    </xf>
    <xf numFmtId="167" fontId="4" fillId="0" borderId="11" xfId="0" applyNumberFormat="1" applyFont="1" applyBorder="1" applyAlignment="1">
      <alignment horizontal="center"/>
    </xf>
    <xf numFmtId="1" fontId="2" fillId="0" borderId="59" xfId="0" applyNumberFormat="1" applyFont="1" applyBorder="1" applyAlignment="1">
      <alignment/>
    </xf>
    <xf numFmtId="0" fontId="4" fillId="0" borderId="22" xfId="0" applyNumberFormat="1" applyFont="1" applyBorder="1" applyAlignment="1">
      <alignment horizontal="center"/>
    </xf>
    <xf numFmtId="0" fontId="4" fillId="0" borderId="60" xfId="0" applyNumberFormat="1" applyFont="1" applyBorder="1" applyAlignment="1">
      <alignment horizontal="center"/>
    </xf>
    <xf numFmtId="1" fontId="2" fillId="0" borderId="11" xfId="0" applyNumberFormat="1" applyFont="1" applyBorder="1" applyAlignment="1">
      <alignment horizontal="right"/>
    </xf>
    <xf numFmtId="167" fontId="4" fillId="0" borderId="11" xfId="0" applyNumberFormat="1" applyFont="1" applyBorder="1" applyAlignment="1">
      <alignment horizontal="right"/>
    </xf>
    <xf numFmtId="167" fontId="4" fillId="0" borderId="62" xfId="0" applyNumberFormat="1" applyFont="1" applyBorder="1" applyAlignment="1">
      <alignment horizontal="right"/>
    </xf>
    <xf numFmtId="1" fontId="2" fillId="0" borderId="11" xfId="0" applyNumberFormat="1" applyFont="1" applyBorder="1" applyAlignment="1">
      <alignment wrapText="1"/>
    </xf>
    <xf numFmtId="171" fontId="10" fillId="0" borderId="11" xfId="0" applyNumberFormat="1" applyFont="1" applyBorder="1" applyAlignment="1">
      <alignment/>
    </xf>
    <xf numFmtId="171" fontId="2" fillId="0" borderId="62" xfId="0" applyNumberFormat="1" applyFont="1" applyBorder="1" applyAlignment="1">
      <alignment horizontal="right"/>
    </xf>
    <xf numFmtId="0" fontId="2" fillId="0" borderId="30" xfId="0" applyNumberFormat="1" applyFont="1" applyBorder="1" applyAlignment="1">
      <alignment horizontal="right"/>
    </xf>
    <xf numFmtId="9" fontId="2" fillId="0" borderId="61" xfId="0" applyNumberFormat="1" applyFont="1" applyBorder="1" applyAlignment="1">
      <alignment/>
    </xf>
    <xf numFmtId="3" fontId="2" fillId="0" borderId="57" xfId="0" applyNumberFormat="1" applyFont="1" applyBorder="1" applyAlignment="1">
      <alignment horizontal="right"/>
    </xf>
    <xf numFmtId="1" fontId="2" fillId="0" borderId="62" xfId="0" applyNumberFormat="1" applyFont="1" applyBorder="1" applyAlignment="1">
      <alignment horizontal="right"/>
    </xf>
    <xf numFmtId="0" fontId="4" fillId="34" borderId="64" xfId="0" applyNumberFormat="1" applyFont="1" applyFill="1" applyBorder="1" applyAlignment="1">
      <alignment wrapText="1"/>
    </xf>
    <xf numFmtId="172" fontId="4" fillId="34" borderId="35" xfId="0" applyNumberFormat="1" applyFont="1" applyFill="1" applyBorder="1" applyAlignment="1">
      <alignment wrapText="1"/>
    </xf>
    <xf numFmtId="168" fontId="4" fillId="34" borderId="35" xfId="0" applyNumberFormat="1" applyFont="1" applyFill="1" applyBorder="1" applyAlignment="1">
      <alignment horizontal="right"/>
    </xf>
    <xf numFmtId="0" fontId="4" fillId="34" borderId="35" xfId="0" applyNumberFormat="1" applyFont="1" applyFill="1" applyBorder="1" applyAlignment="1">
      <alignment horizontal="right"/>
    </xf>
    <xf numFmtId="167" fontId="4" fillId="34" borderId="65" xfId="0" applyNumberFormat="1" applyFont="1" applyFill="1" applyBorder="1" applyAlignment="1">
      <alignment horizontal="right"/>
    </xf>
    <xf numFmtId="172" fontId="2" fillId="0" borderId="57" xfId="0" applyNumberFormat="1" applyFont="1" applyBorder="1" applyAlignment="1">
      <alignment/>
    </xf>
    <xf numFmtId="2" fontId="10" fillId="0" borderId="11" xfId="0" applyNumberFormat="1" applyFont="1" applyBorder="1" applyAlignment="1">
      <alignment/>
    </xf>
    <xf numFmtId="0" fontId="4" fillId="34" borderId="66" xfId="0" applyNumberFormat="1" applyFont="1" applyFill="1" applyBorder="1" applyAlignment="1">
      <alignment wrapText="1"/>
    </xf>
    <xf numFmtId="172" fontId="4" fillId="34" borderId="0" xfId="0" applyNumberFormat="1" applyFont="1" applyFill="1" applyBorder="1" applyAlignment="1">
      <alignment wrapText="1"/>
    </xf>
    <xf numFmtId="168" fontId="4" fillId="34" borderId="0" xfId="0" applyNumberFormat="1" applyFont="1" applyFill="1" applyBorder="1" applyAlignment="1">
      <alignment horizontal="right"/>
    </xf>
    <xf numFmtId="0" fontId="4" fillId="34" borderId="0" xfId="0" applyNumberFormat="1" applyFont="1" applyFill="1" applyBorder="1" applyAlignment="1">
      <alignment horizontal="right"/>
    </xf>
    <xf numFmtId="167" fontId="4" fillId="34" borderId="67" xfId="0" applyNumberFormat="1" applyFont="1" applyFill="1" applyBorder="1" applyAlignment="1">
      <alignment horizontal="right"/>
    </xf>
    <xf numFmtId="173" fontId="4" fillId="0" borderId="62" xfId="0" applyNumberFormat="1" applyFont="1" applyBorder="1" applyAlignment="1">
      <alignment horizontal="right"/>
    </xf>
    <xf numFmtId="169" fontId="10" fillId="0" borderId="62" xfId="0" applyNumberFormat="1" applyFont="1" applyBorder="1" applyAlignment="1">
      <alignment/>
    </xf>
    <xf numFmtId="1" fontId="2" fillId="0" borderId="58" xfId="0" applyNumberFormat="1" applyFont="1" applyBorder="1" applyAlignment="1">
      <alignment/>
    </xf>
    <xf numFmtId="0" fontId="4" fillId="34" borderId="66" xfId="0" applyNumberFormat="1" applyFont="1" applyFill="1" applyBorder="1" applyAlignment="1">
      <alignment horizontal="right" wrapText="1"/>
    </xf>
    <xf numFmtId="167" fontId="4" fillId="0" borderId="11" xfId="0" applyNumberFormat="1" applyFont="1" applyBorder="1" applyAlignment="1">
      <alignment/>
    </xf>
    <xf numFmtId="9" fontId="2" fillId="0" borderId="58" xfId="0" applyNumberFormat="1" applyFont="1" applyBorder="1" applyAlignment="1">
      <alignment/>
    </xf>
    <xf numFmtId="0" fontId="4" fillId="34" borderId="0" xfId="0" applyNumberFormat="1" applyFont="1" applyFill="1" applyBorder="1" applyAlignment="1">
      <alignment horizontal="left"/>
    </xf>
    <xf numFmtId="171" fontId="10" fillId="0" borderId="62" xfId="0" applyNumberFormat="1" applyFont="1" applyBorder="1" applyAlignment="1">
      <alignment horizontal="right"/>
    </xf>
    <xf numFmtId="0" fontId="4" fillId="34" borderId="66" xfId="0" applyNumberFormat="1" applyFont="1" applyFill="1" applyBorder="1" applyAlignment="1">
      <alignment/>
    </xf>
    <xf numFmtId="1" fontId="4" fillId="34" borderId="0" xfId="0" applyNumberFormat="1" applyFont="1" applyFill="1" applyBorder="1" applyAlignment="1">
      <alignment horizontal="right"/>
    </xf>
    <xf numFmtId="1" fontId="2" fillId="0" borderId="62" xfId="0" applyNumberFormat="1" applyFont="1" applyBorder="1" applyAlignment="1">
      <alignment/>
    </xf>
    <xf numFmtId="1" fontId="2" fillId="0" borderId="68" xfId="0" applyNumberFormat="1" applyFont="1" applyBorder="1" applyAlignment="1">
      <alignment/>
    </xf>
    <xf numFmtId="1" fontId="2" fillId="0" borderId="69" xfId="0" applyNumberFormat="1" applyFont="1" applyBorder="1" applyAlignment="1">
      <alignment/>
    </xf>
    <xf numFmtId="1" fontId="2" fillId="0" borderId="69" xfId="0" applyNumberFormat="1" applyFont="1" applyBorder="1" applyAlignment="1">
      <alignment horizontal="right"/>
    </xf>
    <xf numFmtId="175" fontId="2" fillId="0" borderId="70" xfId="0" applyNumberFormat="1" applyFont="1" applyBorder="1" applyAlignment="1">
      <alignment horizontal="right"/>
    </xf>
    <xf numFmtId="167" fontId="2" fillId="0" borderId="30" xfId="0" applyNumberFormat="1" applyFont="1" applyBorder="1" applyAlignment="1">
      <alignment/>
    </xf>
    <xf numFmtId="0" fontId="4" fillId="0" borderId="59" xfId="0" applyNumberFormat="1" applyFont="1" applyBorder="1" applyAlignment="1">
      <alignment/>
    </xf>
    <xf numFmtId="1" fontId="4" fillId="0" borderId="34" xfId="0" applyNumberFormat="1" applyFont="1" applyBorder="1" applyAlignment="1">
      <alignment/>
    </xf>
    <xf numFmtId="166" fontId="4" fillId="34" borderId="35" xfId="0" applyNumberFormat="1" applyFont="1" applyFill="1" applyBorder="1" applyAlignment="1">
      <alignment horizontal="right"/>
    </xf>
    <xf numFmtId="38" fontId="4" fillId="34" borderId="65" xfId="0" applyNumberFormat="1" applyFont="1" applyFill="1" applyBorder="1" applyAlignment="1">
      <alignment horizontal="right"/>
    </xf>
    <xf numFmtId="1" fontId="4" fillId="0" borderId="37" xfId="0" applyNumberFormat="1" applyFont="1" applyBorder="1" applyAlignment="1">
      <alignment/>
    </xf>
    <xf numFmtId="166" fontId="4" fillId="34" borderId="0" xfId="0" applyNumberFormat="1" applyFont="1" applyFill="1" applyBorder="1" applyAlignment="1">
      <alignment horizontal="right"/>
    </xf>
    <xf numFmtId="164" fontId="4" fillId="34" borderId="67" xfId="0" applyNumberFormat="1" applyFont="1" applyFill="1" applyBorder="1" applyAlignment="1">
      <alignment horizontal="right"/>
    </xf>
    <xf numFmtId="169" fontId="4" fillId="0" borderId="57" xfId="0" applyNumberFormat="1" applyFont="1" applyBorder="1" applyAlignment="1">
      <alignment/>
    </xf>
    <xf numFmtId="167" fontId="2" fillId="0" borderId="60" xfId="0" applyNumberFormat="1" applyFont="1" applyBorder="1" applyAlignment="1">
      <alignment horizontal="right"/>
    </xf>
    <xf numFmtId="166" fontId="2" fillId="0" borderId="11" xfId="0" applyNumberFormat="1" applyFont="1" applyBorder="1" applyAlignment="1">
      <alignment/>
    </xf>
    <xf numFmtId="0" fontId="4" fillId="0" borderId="58" xfId="0" applyNumberFormat="1" applyFont="1" applyBorder="1" applyAlignment="1">
      <alignment horizontal="right"/>
    </xf>
    <xf numFmtId="167" fontId="2" fillId="0" borderId="62" xfId="0" applyNumberFormat="1" applyFont="1" applyBorder="1" applyAlignment="1">
      <alignment horizontal="right"/>
    </xf>
    <xf numFmtId="169" fontId="4" fillId="34" borderId="0" xfId="0" applyNumberFormat="1" applyFont="1" applyFill="1" applyBorder="1" applyAlignment="1">
      <alignment horizontal="right"/>
    </xf>
    <xf numFmtId="167" fontId="2" fillId="0" borderId="62" xfId="0" applyNumberFormat="1" applyFont="1" applyBorder="1" applyAlignment="1">
      <alignment/>
    </xf>
    <xf numFmtId="1" fontId="4" fillId="0" borderId="11" xfId="0" applyNumberFormat="1" applyFont="1" applyBorder="1" applyAlignment="1">
      <alignment horizontal="right"/>
    </xf>
    <xf numFmtId="169" fontId="2" fillId="0" borderId="27" xfId="0" applyNumberFormat="1" applyFont="1" applyBorder="1" applyAlignment="1">
      <alignment horizontal="right"/>
    </xf>
    <xf numFmtId="0" fontId="2" fillId="0" borderId="27" xfId="0" applyNumberFormat="1" applyFont="1" applyBorder="1" applyAlignment="1">
      <alignment horizontal="right"/>
    </xf>
    <xf numFmtId="164" fontId="4" fillId="0" borderId="71" xfId="0" applyNumberFormat="1" applyFont="1" applyBorder="1" applyAlignment="1">
      <alignment horizontal="right"/>
    </xf>
    <xf numFmtId="6" fontId="2" fillId="0" borderId="58" xfId="0" applyNumberFormat="1" applyFont="1" applyBorder="1" applyAlignment="1">
      <alignment/>
    </xf>
    <xf numFmtId="1" fontId="2" fillId="0" borderId="11" xfId="0" applyNumberFormat="1" applyFont="1" applyBorder="1" applyAlignment="1">
      <alignment horizontal="left"/>
    </xf>
    <xf numFmtId="169" fontId="2" fillId="0" borderId="11" xfId="0" applyNumberFormat="1" applyFont="1" applyBorder="1" applyAlignment="1">
      <alignment horizontal="right"/>
    </xf>
    <xf numFmtId="164" fontId="4" fillId="0" borderId="62" xfId="0" applyNumberFormat="1" applyFont="1" applyBorder="1" applyAlignment="1">
      <alignment horizontal="right"/>
    </xf>
    <xf numFmtId="9" fontId="2" fillId="0" borderId="11" xfId="0" applyNumberFormat="1" applyFont="1" applyBorder="1" applyAlignment="1">
      <alignment/>
    </xf>
    <xf numFmtId="167" fontId="2" fillId="0" borderId="58" xfId="0" applyNumberFormat="1" applyFont="1" applyBorder="1" applyAlignment="1">
      <alignment/>
    </xf>
    <xf numFmtId="0" fontId="2" fillId="0" borderId="11" xfId="0" applyNumberFormat="1" applyFont="1" applyBorder="1" applyAlignment="1">
      <alignment horizontal="left"/>
    </xf>
    <xf numFmtId="167" fontId="2" fillId="0" borderId="72" xfId="0" applyNumberFormat="1" applyFont="1" applyBorder="1" applyAlignment="1">
      <alignment/>
    </xf>
    <xf numFmtId="168" fontId="2" fillId="0" borderId="57" xfId="0" applyNumberFormat="1" applyFont="1" applyBorder="1" applyAlignment="1">
      <alignment/>
    </xf>
    <xf numFmtId="0" fontId="4" fillId="0" borderId="73" xfId="0" applyNumberFormat="1" applyFont="1" applyBorder="1" applyAlignment="1">
      <alignment/>
    </xf>
    <xf numFmtId="1" fontId="4" fillId="0" borderId="38" xfId="0" applyNumberFormat="1" applyFont="1" applyBorder="1" applyAlignment="1">
      <alignment/>
    </xf>
    <xf numFmtId="169" fontId="2" fillId="0" borderId="38" xfId="0" applyNumberFormat="1" applyFont="1" applyBorder="1" applyAlignment="1">
      <alignment horizontal="right"/>
    </xf>
    <xf numFmtId="0" fontId="2" fillId="0" borderId="38" xfId="0" applyNumberFormat="1" applyFont="1" applyBorder="1" applyAlignment="1">
      <alignment horizontal="right"/>
    </xf>
    <xf numFmtId="164" fontId="4" fillId="0" borderId="74" xfId="0" applyNumberFormat="1" applyFont="1" applyBorder="1" applyAlignment="1">
      <alignment horizontal="right"/>
    </xf>
    <xf numFmtId="0" fontId="4" fillId="0" borderId="75" xfId="0" applyNumberFormat="1" applyFont="1" applyBorder="1" applyAlignment="1">
      <alignment horizontal="right"/>
    </xf>
    <xf numFmtId="1" fontId="4" fillId="0" borderId="76" xfId="0" applyNumberFormat="1" applyFont="1" applyBorder="1" applyAlignment="1">
      <alignment horizontal="right"/>
    </xf>
    <xf numFmtId="168" fontId="4" fillId="34" borderId="77" xfId="0" applyNumberFormat="1" applyFont="1" applyFill="1" applyBorder="1" applyAlignment="1">
      <alignment/>
    </xf>
    <xf numFmtId="0" fontId="4" fillId="34" borderId="77" xfId="0" applyNumberFormat="1" applyFont="1" applyFill="1" applyBorder="1" applyAlignment="1">
      <alignment horizontal="right"/>
    </xf>
    <xf numFmtId="164" fontId="4" fillId="34" borderId="78" xfId="0" applyNumberFormat="1" applyFont="1" applyFill="1" applyBorder="1" applyAlignment="1">
      <alignment/>
    </xf>
    <xf numFmtId="0" fontId="4" fillId="0" borderId="73" xfId="0" applyNumberFormat="1" applyFont="1" applyBorder="1" applyAlignment="1">
      <alignment horizontal="right"/>
    </xf>
    <xf numFmtId="1" fontId="4" fillId="0" borderId="38" xfId="0" applyNumberFormat="1" applyFont="1" applyBorder="1" applyAlignment="1">
      <alignment horizontal="right"/>
    </xf>
    <xf numFmtId="10" fontId="2" fillId="0" borderId="79" xfId="0" applyNumberFormat="1" applyFont="1" applyBorder="1" applyAlignment="1">
      <alignment horizontal="right"/>
    </xf>
    <xf numFmtId="0" fontId="2" fillId="0" borderId="79" xfId="0" applyNumberFormat="1" applyFont="1" applyBorder="1" applyAlignment="1">
      <alignment horizontal="left"/>
    </xf>
    <xf numFmtId="169" fontId="2" fillId="0" borderId="57" xfId="0" applyNumberFormat="1" applyFont="1" applyBorder="1" applyAlignment="1">
      <alignment/>
    </xf>
    <xf numFmtId="0" fontId="2" fillId="0" borderId="73" xfId="0" applyNumberFormat="1" applyFont="1" applyBorder="1" applyAlignment="1">
      <alignment/>
    </xf>
    <xf numFmtId="9" fontId="2" fillId="0" borderId="38" xfId="0" applyNumberFormat="1" applyFont="1" applyBorder="1" applyAlignment="1">
      <alignment/>
    </xf>
    <xf numFmtId="167" fontId="2" fillId="0" borderId="74" xfId="0" applyNumberFormat="1" applyFont="1" applyBorder="1" applyAlignment="1">
      <alignment horizontal="right"/>
    </xf>
    <xf numFmtId="0" fontId="4" fillId="0" borderId="80" xfId="0" applyNumberFormat="1" applyFont="1" applyBorder="1" applyAlignment="1">
      <alignment/>
    </xf>
    <xf numFmtId="1" fontId="4" fillId="0" borderId="81" xfId="0" applyNumberFormat="1" applyFont="1" applyBorder="1" applyAlignment="1">
      <alignment/>
    </xf>
    <xf numFmtId="168" fontId="4" fillId="34" borderId="82" xfId="0" applyNumberFormat="1" applyFont="1" applyFill="1" applyBorder="1" applyAlignment="1">
      <alignment horizontal="right"/>
    </xf>
    <xf numFmtId="0" fontId="4" fillId="34" borderId="82" xfId="0" applyNumberFormat="1" applyFont="1" applyFill="1" applyBorder="1" applyAlignment="1">
      <alignment horizontal="right"/>
    </xf>
    <xf numFmtId="164" fontId="4" fillId="33" borderId="83" xfId="0" applyNumberFormat="1" applyFont="1" applyFill="1" applyBorder="1" applyAlignment="1">
      <alignment horizontal="right"/>
    </xf>
    <xf numFmtId="169" fontId="2" fillId="0" borderId="84" xfId="0" applyNumberFormat="1" applyFont="1" applyBorder="1" applyAlignment="1">
      <alignment/>
    </xf>
    <xf numFmtId="0" fontId="4" fillId="34" borderId="85" xfId="0" applyNumberFormat="1" applyFont="1" applyFill="1" applyBorder="1" applyAlignment="1">
      <alignment/>
    </xf>
    <xf numFmtId="1" fontId="4" fillId="34" borderId="82" xfId="0" applyNumberFormat="1" applyFont="1" applyFill="1" applyBorder="1" applyAlignment="1">
      <alignment/>
    </xf>
    <xf numFmtId="167" fontId="4" fillId="34" borderId="83" xfId="0" applyNumberFormat="1" applyFont="1" applyFill="1" applyBorder="1" applyAlignment="1">
      <alignment horizontal="right"/>
    </xf>
    <xf numFmtId="1" fontId="2" fillId="0" borderId="14" xfId="0" applyNumberFormat="1" applyFont="1" applyBorder="1" applyAlignment="1">
      <alignment horizontal="right"/>
    </xf>
    <xf numFmtId="1" fontId="2" fillId="0" borderId="86" xfId="0" applyNumberFormat="1" applyFont="1" applyBorder="1" applyAlignment="1">
      <alignment horizontal="right"/>
    </xf>
    <xf numFmtId="169" fontId="2" fillId="0" borderId="58" xfId="0" applyNumberFormat="1" applyFont="1" applyBorder="1" applyAlignment="1">
      <alignment/>
    </xf>
    <xf numFmtId="0" fontId="4" fillId="0" borderId="14" xfId="0" applyNumberFormat="1" applyFont="1" applyBorder="1" applyAlignment="1">
      <alignment/>
    </xf>
    <xf numFmtId="10" fontId="4" fillId="0" borderId="14" xfId="0" applyNumberFormat="1" applyFont="1" applyBorder="1" applyAlignment="1">
      <alignment/>
    </xf>
    <xf numFmtId="169" fontId="4" fillId="0" borderId="11" xfId="0" applyNumberFormat="1" applyFont="1" applyBorder="1" applyAlignment="1">
      <alignment/>
    </xf>
    <xf numFmtId="172" fontId="2" fillId="0" borderId="22" xfId="0" applyNumberFormat="1" applyFont="1" applyBorder="1" applyAlignment="1">
      <alignment horizontal="right"/>
    </xf>
    <xf numFmtId="1" fontId="4" fillId="0" borderId="87" xfId="0" applyNumberFormat="1" applyFont="1" applyBorder="1" applyAlignment="1">
      <alignment/>
    </xf>
    <xf numFmtId="0" fontId="4" fillId="0" borderId="18" xfId="0" applyNumberFormat="1" applyFont="1" applyBorder="1" applyAlignment="1">
      <alignment/>
    </xf>
    <xf numFmtId="0" fontId="4" fillId="0" borderId="88" xfId="0" applyNumberFormat="1" applyFont="1" applyBorder="1" applyAlignment="1">
      <alignment/>
    </xf>
    <xf numFmtId="166" fontId="2" fillId="0" borderId="58" xfId="0" applyNumberFormat="1" applyFont="1" applyBorder="1" applyAlignment="1">
      <alignment/>
    </xf>
    <xf numFmtId="172" fontId="2" fillId="0" borderId="11" xfId="0" applyNumberFormat="1" applyFont="1" applyBorder="1" applyAlignment="1">
      <alignment horizontal="right"/>
    </xf>
    <xf numFmtId="0" fontId="4" fillId="33" borderId="87" xfId="0" applyNumberFormat="1" applyFont="1" applyFill="1" applyBorder="1" applyAlignment="1">
      <alignment horizontal="center"/>
    </xf>
    <xf numFmtId="167" fontId="4" fillId="33" borderId="87" xfId="0" applyNumberFormat="1" applyFont="1" applyFill="1" applyBorder="1" applyAlignment="1">
      <alignment horizontal="center"/>
    </xf>
    <xf numFmtId="1" fontId="2" fillId="0" borderId="63" xfId="0" applyNumberFormat="1" applyFont="1" applyBorder="1" applyAlignment="1">
      <alignment/>
    </xf>
    <xf numFmtId="0" fontId="9" fillId="34" borderId="32" xfId="0" applyNumberFormat="1" applyFont="1" applyFill="1" applyBorder="1" applyAlignment="1">
      <alignment horizontal="center"/>
    </xf>
    <xf numFmtId="0" fontId="9" fillId="34" borderId="89" xfId="0" applyNumberFormat="1" applyFont="1" applyFill="1" applyBorder="1" applyAlignment="1">
      <alignment horizontal="center"/>
    </xf>
    <xf numFmtId="0" fontId="9" fillId="34" borderId="17" xfId="0" applyNumberFormat="1" applyFont="1" applyFill="1" applyBorder="1" applyAlignment="1">
      <alignment horizontal="center"/>
    </xf>
    <xf numFmtId="0" fontId="4" fillId="0" borderId="57" xfId="0" applyNumberFormat="1" applyFont="1" applyBorder="1" applyAlignment="1">
      <alignment horizontal="left"/>
    </xf>
    <xf numFmtId="169" fontId="4" fillId="0" borderId="59" xfId="0" applyNumberFormat="1" applyFont="1" applyBorder="1" applyAlignment="1">
      <alignment horizontal="right"/>
    </xf>
    <xf numFmtId="169" fontId="4" fillId="0" borderId="60" xfId="0" applyNumberFormat="1" applyFont="1" applyBorder="1" applyAlignment="1">
      <alignment horizontal="right"/>
    </xf>
    <xf numFmtId="169" fontId="4" fillId="0" borderId="90" xfId="0" applyNumberFormat="1" applyFont="1" applyBorder="1" applyAlignment="1">
      <alignment/>
    </xf>
    <xf numFmtId="169" fontId="4" fillId="0" borderId="90" xfId="0" applyNumberFormat="1" applyFont="1" applyBorder="1" applyAlignment="1">
      <alignment horizontal="right"/>
    </xf>
    <xf numFmtId="1" fontId="2" fillId="0" borderId="91" xfId="0" applyNumberFormat="1" applyFont="1" applyBorder="1" applyAlignment="1">
      <alignment horizontal="center"/>
    </xf>
    <xf numFmtId="176" fontId="4" fillId="0" borderId="63" xfId="0" applyNumberFormat="1" applyFont="1" applyBorder="1" applyAlignment="1">
      <alignment horizontal="center"/>
    </xf>
    <xf numFmtId="176" fontId="4" fillId="0" borderId="61" xfId="0" applyNumberFormat="1" applyFont="1" applyBorder="1" applyAlignment="1">
      <alignment horizontal="center"/>
    </xf>
    <xf numFmtId="176" fontId="4" fillId="0" borderId="91" xfId="0" applyNumberFormat="1" applyFont="1" applyBorder="1" applyAlignment="1">
      <alignment/>
    </xf>
    <xf numFmtId="9" fontId="4" fillId="33" borderId="87" xfId="0" applyNumberFormat="1" applyFont="1" applyFill="1" applyBorder="1" applyAlignment="1">
      <alignment horizontal="center"/>
    </xf>
    <xf numFmtId="1" fontId="2" fillId="0" borderId="87" xfId="0" applyNumberFormat="1" applyFont="1" applyBorder="1" applyAlignment="1">
      <alignment/>
    </xf>
    <xf numFmtId="0" fontId="2" fillId="0" borderId="18" xfId="0" applyFont="1" applyBorder="1" applyAlignment="1">
      <alignment/>
    </xf>
    <xf numFmtId="9" fontId="2" fillId="0" borderId="11" xfId="0" applyNumberFormat="1" applyFont="1" applyBorder="1" applyAlignment="1">
      <alignment horizontal="right"/>
    </xf>
    <xf numFmtId="0" fontId="4" fillId="0" borderId="57" xfId="0" applyNumberFormat="1" applyFont="1" applyBorder="1" applyAlignment="1">
      <alignment/>
    </xf>
    <xf numFmtId="9" fontId="2" fillId="0" borderId="30" xfId="0" applyNumberFormat="1" applyFont="1" applyBorder="1" applyAlignment="1">
      <alignment/>
    </xf>
    <xf numFmtId="9" fontId="2" fillId="0" borderId="30" xfId="0" applyNumberFormat="1" applyFont="1" applyBorder="1" applyAlignment="1">
      <alignment horizontal="right"/>
    </xf>
    <xf numFmtId="167" fontId="2" fillId="0" borderId="61" xfId="0" applyNumberFormat="1" applyFont="1" applyBorder="1" applyAlignment="1">
      <alignment horizontal="right"/>
    </xf>
    <xf numFmtId="38" fontId="2" fillId="0" borderId="91" xfId="0" applyNumberFormat="1" applyFont="1" applyBorder="1" applyAlignment="1">
      <alignment/>
    </xf>
    <xf numFmtId="1" fontId="9" fillId="0" borderId="58" xfId="0" applyNumberFormat="1" applyFont="1" applyBorder="1" applyAlignment="1">
      <alignment horizontal="center"/>
    </xf>
    <xf numFmtId="169" fontId="2" fillId="0" borderId="19" xfId="0" applyNumberFormat="1" applyFont="1" applyBorder="1" applyAlignment="1">
      <alignment/>
    </xf>
    <xf numFmtId="170" fontId="2" fillId="0" borderId="11" xfId="0" applyNumberFormat="1" applyFont="1" applyBorder="1" applyAlignment="1">
      <alignment/>
    </xf>
    <xf numFmtId="170" fontId="2" fillId="0" borderId="58" xfId="0" applyNumberFormat="1" applyFont="1" applyBorder="1" applyAlignment="1">
      <alignment/>
    </xf>
    <xf numFmtId="1" fontId="2" fillId="0" borderId="11" xfId="0" applyNumberFormat="1" applyFont="1" applyBorder="1" applyAlignment="1">
      <alignment horizontal="center"/>
    </xf>
    <xf numFmtId="167" fontId="2" fillId="0" borderId="57" xfId="0" applyNumberFormat="1" applyFont="1" applyBorder="1" applyAlignment="1">
      <alignment/>
    </xf>
    <xf numFmtId="0" fontId="4" fillId="34" borderId="92" xfId="0" applyNumberFormat="1" applyFont="1" applyFill="1" applyBorder="1" applyAlignment="1">
      <alignment/>
    </xf>
    <xf numFmtId="170" fontId="2" fillId="34" borderId="92" xfId="0" applyNumberFormat="1" applyFont="1" applyFill="1" applyBorder="1" applyAlignment="1">
      <alignment/>
    </xf>
    <xf numFmtId="0" fontId="2" fillId="0" borderId="63" xfId="0" applyNumberFormat="1" applyFont="1" applyBorder="1" applyAlignment="1">
      <alignment/>
    </xf>
    <xf numFmtId="167" fontId="2" fillId="0" borderId="30" xfId="0" applyNumberFormat="1" applyFont="1" applyBorder="1" applyAlignment="1">
      <alignment horizontal="right"/>
    </xf>
    <xf numFmtId="0" fontId="4" fillId="34" borderId="93" xfId="0" applyNumberFormat="1" applyFont="1" applyFill="1" applyBorder="1" applyAlignment="1">
      <alignment/>
    </xf>
    <xf numFmtId="170" fontId="2" fillId="34" borderId="93" xfId="0" applyNumberFormat="1" applyFont="1" applyFill="1" applyBorder="1" applyAlignment="1">
      <alignment/>
    </xf>
    <xf numFmtId="178" fontId="2" fillId="0" borderId="11" xfId="0" applyNumberFormat="1" applyFont="1" applyBorder="1" applyAlignment="1">
      <alignment/>
    </xf>
    <xf numFmtId="9" fontId="2" fillId="0" borderId="22" xfId="0" applyNumberFormat="1" applyFont="1" applyBorder="1" applyAlignment="1">
      <alignment horizontal="right"/>
    </xf>
    <xf numFmtId="167" fontId="2" fillId="0" borderId="60" xfId="0" applyNumberFormat="1" applyFont="1" applyBorder="1" applyAlignment="1">
      <alignment horizontal="center"/>
    </xf>
    <xf numFmtId="1" fontId="4" fillId="34" borderId="94" xfId="0" applyNumberFormat="1" applyFont="1" applyFill="1" applyBorder="1" applyAlignment="1">
      <alignment/>
    </xf>
    <xf numFmtId="170" fontId="2" fillId="34" borderId="94" xfId="0" applyNumberFormat="1" applyFont="1" applyFill="1" applyBorder="1" applyAlignment="1">
      <alignment/>
    </xf>
    <xf numFmtId="167" fontId="2" fillId="0" borderId="62" xfId="0" applyNumberFormat="1" applyFont="1" applyBorder="1" applyAlignment="1">
      <alignment horizontal="center"/>
    </xf>
    <xf numFmtId="0" fontId="4" fillId="34" borderId="94" xfId="0" applyNumberFormat="1" applyFont="1" applyFill="1" applyBorder="1" applyAlignment="1">
      <alignment/>
    </xf>
    <xf numFmtId="9" fontId="2" fillId="0" borderId="38" xfId="0" applyNumberFormat="1" applyFont="1" applyBorder="1" applyAlignment="1">
      <alignment horizontal="right"/>
    </xf>
    <xf numFmtId="179" fontId="2" fillId="0" borderId="58" xfId="0" applyNumberFormat="1" applyFont="1" applyBorder="1" applyAlignment="1">
      <alignment/>
    </xf>
    <xf numFmtId="0" fontId="2" fillId="0" borderId="95" xfId="0" applyNumberFormat="1" applyFont="1" applyBorder="1" applyAlignment="1">
      <alignment horizontal="right"/>
    </xf>
    <xf numFmtId="1" fontId="2" fillId="0" borderId="96" xfId="0" applyNumberFormat="1" applyFont="1" applyBorder="1" applyAlignment="1">
      <alignment horizontal="right"/>
    </xf>
    <xf numFmtId="169" fontId="2" fillId="0" borderId="96" xfId="0" applyNumberFormat="1" applyFont="1" applyBorder="1" applyAlignment="1">
      <alignment horizontal="right"/>
    </xf>
    <xf numFmtId="167" fontId="2" fillId="0" borderId="97" xfId="0" applyNumberFormat="1" applyFont="1" applyBorder="1" applyAlignment="1">
      <alignment horizontal="right"/>
    </xf>
    <xf numFmtId="0" fontId="2" fillId="0" borderId="75" xfId="0" applyNumberFormat="1" applyFont="1" applyBorder="1" applyAlignment="1">
      <alignment horizontal="right"/>
    </xf>
    <xf numFmtId="1" fontId="2" fillId="0" borderId="56" xfId="0" applyNumberFormat="1" applyFont="1" applyBorder="1" applyAlignment="1">
      <alignment horizontal="right"/>
    </xf>
    <xf numFmtId="0" fontId="4" fillId="34" borderId="87" xfId="0" applyNumberFormat="1" applyFont="1" applyFill="1" applyBorder="1" applyAlignment="1">
      <alignment/>
    </xf>
    <xf numFmtId="179" fontId="4" fillId="34" borderId="87" xfId="0" applyNumberFormat="1" applyFont="1" applyFill="1" applyBorder="1" applyAlignment="1">
      <alignment/>
    </xf>
    <xf numFmtId="179" fontId="2" fillId="34" borderId="87" xfId="0" applyNumberFormat="1" applyFont="1" applyFill="1" applyBorder="1" applyAlignment="1">
      <alignment/>
    </xf>
    <xf numFmtId="1" fontId="2" fillId="0" borderId="73" xfId="0" applyNumberFormat="1" applyFont="1" applyBorder="1" applyAlignment="1">
      <alignment/>
    </xf>
    <xf numFmtId="0" fontId="2" fillId="0" borderId="38" xfId="0" applyFont="1" applyBorder="1" applyAlignment="1">
      <alignment/>
    </xf>
    <xf numFmtId="1" fontId="4" fillId="0" borderId="96" xfId="0" applyNumberFormat="1" applyFont="1" applyBorder="1" applyAlignment="1">
      <alignment/>
    </xf>
    <xf numFmtId="1" fontId="4" fillId="0" borderId="96" xfId="0" applyNumberFormat="1" applyFont="1" applyBorder="1" applyAlignment="1">
      <alignment horizontal="right"/>
    </xf>
    <xf numFmtId="164" fontId="4" fillId="0" borderId="98" xfId="0" applyNumberFormat="1" applyFont="1" applyBorder="1" applyAlignment="1">
      <alignment horizontal="right"/>
    </xf>
    <xf numFmtId="180" fontId="2" fillId="0" borderId="99" xfId="0" applyNumberFormat="1" applyFont="1" applyBorder="1" applyAlignment="1">
      <alignment horizontal="center"/>
    </xf>
    <xf numFmtId="173" fontId="2" fillId="34" borderId="87" xfId="0" applyNumberFormat="1" applyFont="1" applyFill="1" applyBorder="1" applyAlignment="1">
      <alignment/>
    </xf>
    <xf numFmtId="173" fontId="4" fillId="34" borderId="87" xfId="0" applyNumberFormat="1" applyFont="1" applyFill="1" applyBorder="1" applyAlignment="1">
      <alignment/>
    </xf>
    <xf numFmtId="180" fontId="2" fillId="0" borderId="62" xfId="0" applyNumberFormat="1" applyFont="1" applyBorder="1" applyAlignment="1">
      <alignment horizontal="center"/>
    </xf>
    <xf numFmtId="1" fontId="2" fillId="34" borderId="64" xfId="0" applyNumberFormat="1" applyFont="1" applyFill="1" applyBorder="1" applyAlignment="1">
      <alignment/>
    </xf>
    <xf numFmtId="1" fontId="2" fillId="34" borderId="65" xfId="0" applyNumberFormat="1" applyFont="1" applyFill="1" applyBorder="1" applyAlignment="1">
      <alignment/>
    </xf>
    <xf numFmtId="38" fontId="2" fillId="0" borderId="58" xfId="0" applyNumberFormat="1" applyFont="1" applyBorder="1" applyAlignment="1">
      <alignment/>
    </xf>
    <xf numFmtId="169" fontId="2" fillId="0" borderId="30" xfId="0" applyNumberFormat="1" applyFont="1" applyBorder="1" applyAlignment="1">
      <alignment/>
    </xf>
    <xf numFmtId="169" fontId="2" fillId="0" borderId="61" xfId="0" applyNumberFormat="1" applyFont="1" applyBorder="1" applyAlignment="1">
      <alignment/>
    </xf>
    <xf numFmtId="164" fontId="4" fillId="0" borderId="11" xfId="0" applyNumberFormat="1" applyFont="1" applyBorder="1" applyAlignment="1">
      <alignment/>
    </xf>
    <xf numFmtId="1" fontId="12" fillId="35" borderId="0" xfId="0" applyNumberFormat="1" applyFont="1" applyFill="1" applyBorder="1" applyAlignment="1">
      <alignment horizontal="left"/>
    </xf>
    <xf numFmtId="1" fontId="12" fillId="35" borderId="100" xfId="0" applyNumberFormat="1" applyFont="1" applyFill="1" applyBorder="1" applyAlignment="1">
      <alignment horizontal="left"/>
    </xf>
    <xf numFmtId="1" fontId="12" fillId="35" borderId="100" xfId="0" applyNumberFormat="1" applyFont="1" applyFill="1" applyBorder="1" applyAlignment="1">
      <alignment/>
    </xf>
    <xf numFmtId="1" fontId="12" fillId="35" borderId="101" xfId="0" applyNumberFormat="1" applyFont="1" applyFill="1" applyBorder="1" applyAlignment="1">
      <alignment horizontal="left"/>
    </xf>
    <xf numFmtId="1" fontId="12" fillId="35" borderId="102" xfId="0" applyNumberFormat="1" applyFont="1" applyFill="1" applyBorder="1" applyAlignment="1">
      <alignment/>
    </xf>
    <xf numFmtId="1" fontId="12" fillId="35" borderId="101" xfId="0" applyNumberFormat="1" applyFont="1" applyFill="1" applyBorder="1" applyAlignment="1">
      <alignment/>
    </xf>
    <xf numFmtId="1" fontId="12" fillId="35" borderId="103" xfId="0" applyNumberFormat="1" applyFont="1" applyFill="1" applyBorder="1" applyAlignment="1">
      <alignment horizontal="left"/>
    </xf>
    <xf numFmtId="1" fontId="12" fillId="35" borderId="104" xfId="0" applyNumberFormat="1" applyFont="1" applyFill="1" applyBorder="1" applyAlignment="1">
      <alignment horizontal="left"/>
    </xf>
    <xf numFmtId="1" fontId="13" fillId="35" borderId="105" xfId="0" applyNumberFormat="1" applyFont="1" applyFill="1" applyBorder="1" applyAlignment="1">
      <alignment horizontal="center"/>
    </xf>
    <xf numFmtId="1" fontId="14" fillId="35" borderId="106" xfId="0" applyNumberFormat="1" applyFont="1" applyFill="1" applyBorder="1" applyAlignment="1">
      <alignment horizontal="left"/>
    </xf>
    <xf numFmtId="0" fontId="14" fillId="35" borderId="107" xfId="0" applyNumberFormat="1" applyFont="1" applyFill="1" applyBorder="1" applyAlignment="1">
      <alignment horizontal="right"/>
    </xf>
    <xf numFmtId="167" fontId="12" fillId="34" borderId="108" xfId="0" applyNumberFormat="1" applyFont="1" applyFill="1" applyBorder="1" applyAlignment="1">
      <alignment horizontal="right"/>
    </xf>
    <xf numFmtId="168" fontId="12" fillId="34" borderId="108" xfId="0" applyNumberFormat="1" applyFont="1" applyFill="1" applyBorder="1" applyAlignment="1">
      <alignment horizontal="right"/>
    </xf>
    <xf numFmtId="168" fontId="12" fillId="35" borderId="105" xfId="0" applyNumberFormat="1" applyFont="1" applyFill="1" applyBorder="1" applyAlignment="1">
      <alignment horizontal="right"/>
    </xf>
    <xf numFmtId="1" fontId="14" fillId="35" borderId="105" xfId="0" applyNumberFormat="1" applyFont="1" applyFill="1" applyBorder="1" applyAlignment="1">
      <alignment horizontal="left"/>
    </xf>
    <xf numFmtId="0" fontId="14" fillId="35" borderId="103" xfId="0" applyNumberFormat="1" applyFont="1" applyFill="1" applyBorder="1" applyAlignment="1">
      <alignment horizontal="right"/>
    </xf>
    <xf numFmtId="181" fontId="12" fillId="34" borderId="108" xfId="0" applyNumberFormat="1" applyFont="1" applyFill="1" applyBorder="1" applyAlignment="1">
      <alignment horizontal="right"/>
    </xf>
    <xf numFmtId="182" fontId="12" fillId="34" borderId="108" xfId="0" applyNumberFormat="1" applyFont="1" applyFill="1" applyBorder="1" applyAlignment="1">
      <alignment horizontal="right"/>
    </xf>
    <xf numFmtId="182" fontId="12" fillId="35" borderId="105" xfId="0" applyNumberFormat="1" applyFont="1" applyFill="1" applyBorder="1" applyAlignment="1">
      <alignment horizontal="right"/>
    </xf>
    <xf numFmtId="14" fontId="12" fillId="34" borderId="108" xfId="0" applyNumberFormat="1" applyFont="1" applyFill="1" applyBorder="1" applyAlignment="1">
      <alignment horizontal="right"/>
    </xf>
    <xf numFmtId="1" fontId="14" fillId="35" borderId="109" xfId="0" applyNumberFormat="1" applyFont="1" applyFill="1" applyBorder="1" applyAlignment="1">
      <alignment horizontal="left"/>
    </xf>
    <xf numFmtId="0" fontId="14" fillId="35" borderId="110" xfId="0" applyNumberFormat="1" applyFont="1" applyFill="1" applyBorder="1" applyAlignment="1">
      <alignment horizontal="right"/>
    </xf>
    <xf numFmtId="1" fontId="12" fillId="35" borderId="105" xfId="0" applyNumberFormat="1" applyFont="1" applyFill="1" applyBorder="1" applyAlignment="1">
      <alignment horizontal="left"/>
    </xf>
    <xf numFmtId="1" fontId="12" fillId="35" borderId="0" xfId="0" applyNumberFormat="1" applyFont="1" applyFill="1" applyBorder="1" applyAlignment="1">
      <alignment/>
    </xf>
    <xf numFmtId="0" fontId="13" fillId="35" borderId="103" xfId="0" applyNumberFormat="1" applyFont="1" applyFill="1" applyBorder="1" applyAlignment="1">
      <alignment horizontal="right"/>
    </xf>
    <xf numFmtId="1" fontId="12" fillId="35" borderId="105" xfId="0" applyNumberFormat="1" applyFont="1" applyFill="1" applyBorder="1" applyAlignment="1">
      <alignment/>
    </xf>
    <xf numFmtId="1" fontId="13" fillId="35" borderId="0" xfId="0" applyNumberFormat="1" applyFont="1" applyFill="1" applyBorder="1" applyAlignment="1">
      <alignment horizontal="right"/>
    </xf>
    <xf numFmtId="0" fontId="13" fillId="35" borderId="0" xfId="0" applyNumberFormat="1" applyFont="1" applyFill="1" applyBorder="1" applyAlignment="1">
      <alignment horizontal="left" wrapText="1"/>
    </xf>
    <xf numFmtId="0" fontId="13" fillId="35" borderId="0" xfId="0" applyNumberFormat="1" applyFont="1" applyFill="1" applyBorder="1" applyAlignment="1">
      <alignment horizontal="right" wrapText="1"/>
    </xf>
    <xf numFmtId="1" fontId="2" fillId="35" borderId="100" xfId="0" applyNumberFormat="1" applyFont="1" applyFill="1" applyBorder="1" applyAlignment="1">
      <alignment horizontal="left"/>
    </xf>
    <xf numFmtId="1" fontId="4" fillId="35" borderId="100" xfId="0" applyNumberFormat="1" applyFont="1" applyFill="1" applyBorder="1" applyAlignment="1">
      <alignment horizontal="left" wrapText="1"/>
    </xf>
    <xf numFmtId="0" fontId="15" fillId="35" borderId="101" xfId="0" applyNumberFormat="1" applyFont="1" applyFill="1" applyBorder="1" applyAlignment="1">
      <alignment horizontal="left"/>
    </xf>
    <xf numFmtId="0" fontId="15" fillId="35" borderId="101" xfId="0" applyNumberFormat="1" applyFont="1" applyFill="1" applyBorder="1" applyAlignment="1">
      <alignment horizontal="right"/>
    </xf>
    <xf numFmtId="168" fontId="15" fillId="35" borderId="101" xfId="0" applyNumberFormat="1" applyFont="1" applyFill="1" applyBorder="1" applyAlignment="1">
      <alignment horizontal="right"/>
    </xf>
    <xf numFmtId="0" fontId="15" fillId="35" borderId="0" xfId="0" applyNumberFormat="1" applyFont="1" applyFill="1" applyBorder="1" applyAlignment="1">
      <alignment horizontal="left"/>
    </xf>
    <xf numFmtId="0" fontId="15" fillId="35" borderId="0" xfId="0" applyNumberFormat="1" applyFont="1" applyFill="1" applyBorder="1" applyAlignment="1">
      <alignment horizontal="right"/>
    </xf>
    <xf numFmtId="183" fontId="15" fillId="35" borderId="0" xfId="0" applyNumberFormat="1" applyFont="1" applyFill="1" applyBorder="1" applyAlignment="1">
      <alignment horizontal="right"/>
    </xf>
    <xf numFmtId="178" fontId="15" fillId="35" borderId="0" xfId="0" applyNumberFormat="1" applyFont="1" applyFill="1" applyBorder="1" applyAlignment="1">
      <alignment horizontal="right"/>
    </xf>
    <xf numFmtId="1" fontId="15" fillId="35" borderId="0" xfId="0" applyNumberFormat="1" applyFont="1" applyFill="1" applyBorder="1" applyAlignment="1">
      <alignment horizontal="left"/>
    </xf>
    <xf numFmtId="44" fontId="2" fillId="0" borderId="57" xfId="44" applyFont="1" applyBorder="1" applyAlignment="1">
      <alignment/>
    </xf>
    <xf numFmtId="191" fontId="2" fillId="0" borderId="63" xfId="44" applyNumberFormat="1" applyFont="1" applyBorder="1" applyAlignment="1">
      <alignment/>
    </xf>
    <xf numFmtId="0" fontId="2" fillId="0" borderId="111" xfId="0" applyFont="1" applyBorder="1" applyAlignment="1">
      <alignment/>
    </xf>
    <xf numFmtId="169" fontId="4" fillId="0" borderId="111" xfId="0" applyNumberFormat="1" applyFont="1" applyBorder="1" applyAlignment="1">
      <alignment/>
    </xf>
    <xf numFmtId="169" fontId="4" fillId="0" borderId="25" xfId="0" applyNumberFormat="1" applyFont="1" applyBorder="1" applyAlignment="1">
      <alignment/>
    </xf>
    <xf numFmtId="0" fontId="2" fillId="0" borderId="24" xfId="0" applyFont="1" applyBorder="1" applyAlignment="1">
      <alignment/>
    </xf>
    <xf numFmtId="0" fontId="2" fillId="34" borderId="94" xfId="0" applyNumberFormat="1" applyFont="1" applyFill="1" applyBorder="1" applyAlignment="1">
      <alignment/>
    </xf>
    <xf numFmtId="193" fontId="2" fillId="34" borderId="94" xfId="42" applyNumberFormat="1" applyFont="1" applyFill="1" applyBorder="1" applyAlignment="1">
      <alignment/>
    </xf>
    <xf numFmtId="1" fontId="16" fillId="0" borderId="21" xfId="0" applyNumberFormat="1" applyFont="1" applyBorder="1" applyAlignment="1">
      <alignment/>
    </xf>
    <xf numFmtId="164" fontId="16" fillId="0" borderId="112" xfId="0" applyNumberFormat="1" applyFont="1" applyBorder="1" applyAlignment="1">
      <alignment/>
    </xf>
    <xf numFmtId="3" fontId="2" fillId="0" borderId="58" xfId="0" applyNumberFormat="1" applyFont="1" applyBorder="1" applyAlignment="1">
      <alignment/>
    </xf>
    <xf numFmtId="167" fontId="2" fillId="0" borderId="56" xfId="0" applyNumberFormat="1" applyFont="1" applyBorder="1" applyAlignment="1">
      <alignment/>
    </xf>
    <xf numFmtId="167" fontId="2" fillId="0" borderId="113" xfId="0" applyNumberFormat="1" applyFont="1" applyBorder="1" applyAlignment="1">
      <alignment horizontal="right"/>
    </xf>
    <xf numFmtId="164" fontId="2" fillId="15" borderId="35" xfId="0" applyNumberFormat="1" applyFont="1" applyFill="1" applyBorder="1" applyAlignment="1">
      <alignment/>
    </xf>
    <xf numFmtId="0" fontId="4" fillId="0" borderId="58" xfId="0" applyNumberFormat="1" applyFont="1" applyBorder="1" applyAlignment="1">
      <alignment horizontal="left"/>
    </xf>
    <xf numFmtId="193" fontId="2" fillId="0" borderId="11" xfId="42" applyNumberFormat="1" applyFont="1" applyBorder="1" applyAlignment="1">
      <alignment/>
    </xf>
    <xf numFmtId="0" fontId="4" fillId="0" borderId="114" xfId="0" applyNumberFormat="1" applyFont="1" applyBorder="1" applyAlignment="1">
      <alignment horizontal="right"/>
    </xf>
    <xf numFmtId="1" fontId="2" fillId="0" borderId="115" xfId="0" applyNumberFormat="1" applyFont="1" applyBorder="1" applyAlignment="1">
      <alignment/>
    </xf>
    <xf numFmtId="0" fontId="2" fillId="0" borderId="116" xfId="0" applyFont="1" applyBorder="1" applyAlignment="1">
      <alignment/>
    </xf>
    <xf numFmtId="1" fontId="16" fillId="34" borderId="17" xfId="0" applyNumberFormat="1" applyFont="1" applyFill="1" applyBorder="1" applyAlignment="1">
      <alignment/>
    </xf>
    <xf numFmtId="0" fontId="2" fillId="0" borderId="36" xfId="0" applyNumberFormat="1" applyFont="1" applyBorder="1" applyAlignment="1">
      <alignment/>
    </xf>
    <xf numFmtId="1" fontId="2" fillId="0" borderId="117" xfId="0" applyNumberFormat="1" applyFont="1" applyBorder="1" applyAlignment="1">
      <alignment/>
    </xf>
    <xf numFmtId="164" fontId="2" fillId="0" borderId="118" xfId="0" applyNumberFormat="1" applyFont="1" applyBorder="1" applyAlignment="1">
      <alignment/>
    </xf>
    <xf numFmtId="164" fontId="4" fillId="33" borderId="119" xfId="0" applyNumberFormat="1" applyFont="1" applyFill="1" applyBorder="1" applyAlignment="1">
      <alignment/>
    </xf>
    <xf numFmtId="1" fontId="4" fillId="34" borderId="120" xfId="0" applyNumberFormat="1" applyFont="1" applyFill="1" applyBorder="1" applyAlignment="1">
      <alignment/>
    </xf>
    <xf numFmtId="164" fontId="2" fillId="0" borderId="69" xfId="0" applyNumberFormat="1" applyFont="1" applyBorder="1" applyAlignment="1">
      <alignment/>
    </xf>
    <xf numFmtId="1" fontId="4" fillId="0" borderId="117" xfId="0" applyNumberFormat="1" applyFont="1" applyBorder="1" applyAlignment="1">
      <alignment horizontal="left" vertical="center"/>
    </xf>
    <xf numFmtId="166" fontId="5" fillId="0" borderId="117" xfId="0" applyNumberFormat="1" applyFont="1" applyBorder="1" applyAlignment="1">
      <alignment/>
    </xf>
    <xf numFmtId="0" fontId="2" fillId="0" borderId="121" xfId="0" applyNumberFormat="1" applyFont="1" applyBorder="1" applyAlignment="1">
      <alignment/>
    </xf>
    <xf numFmtId="1" fontId="4" fillId="0" borderId="122" xfId="0" applyNumberFormat="1" applyFont="1" applyBorder="1" applyAlignment="1">
      <alignment/>
    </xf>
    <xf numFmtId="1" fontId="16" fillId="34" borderId="123" xfId="0" applyNumberFormat="1" applyFont="1" applyFill="1" applyBorder="1" applyAlignment="1">
      <alignment/>
    </xf>
    <xf numFmtId="164" fontId="2" fillId="0" borderId="124" xfId="0" applyNumberFormat="1" applyFont="1" applyBorder="1" applyAlignment="1">
      <alignment/>
    </xf>
    <xf numFmtId="164" fontId="2" fillId="0" borderId="121" xfId="0" applyNumberFormat="1" applyFont="1" applyBorder="1" applyAlignment="1">
      <alignment/>
    </xf>
    <xf numFmtId="0" fontId="16" fillId="0" borderId="0" xfId="0" applyNumberFormat="1" applyFont="1" applyAlignment="1">
      <alignment/>
    </xf>
    <xf numFmtId="1" fontId="2" fillId="0" borderId="122" xfId="0" applyNumberFormat="1" applyFont="1" applyBorder="1" applyAlignment="1">
      <alignment/>
    </xf>
    <xf numFmtId="10" fontId="2" fillId="0" borderId="27" xfId="0" applyNumberFormat="1" applyFont="1" applyBorder="1" applyAlignment="1">
      <alignment/>
    </xf>
    <xf numFmtId="164" fontId="2" fillId="0" borderId="27" xfId="0" applyNumberFormat="1" applyFont="1" applyBorder="1" applyAlignment="1">
      <alignment/>
    </xf>
    <xf numFmtId="196" fontId="2" fillId="0" borderId="57" xfId="0" applyNumberFormat="1" applyFont="1" applyBorder="1" applyAlignment="1">
      <alignment/>
    </xf>
    <xf numFmtId="0" fontId="2" fillId="0" borderId="125" xfId="0" applyNumberFormat="1" applyFont="1" applyBorder="1" applyAlignment="1">
      <alignment/>
    </xf>
    <xf numFmtId="9" fontId="2" fillId="0" borderId="72" xfId="0" applyNumberFormat="1" applyFont="1" applyBorder="1" applyAlignment="1">
      <alignment horizontal="right"/>
    </xf>
    <xf numFmtId="173" fontId="2" fillId="0" borderId="87" xfId="0" applyNumberFormat="1" applyFont="1" applyFill="1" applyBorder="1" applyAlignment="1">
      <alignment/>
    </xf>
    <xf numFmtId="0" fontId="16" fillId="0" borderId="19" xfId="0" applyFont="1" applyBorder="1" applyAlignment="1">
      <alignment/>
    </xf>
    <xf numFmtId="173" fontId="2" fillId="0" borderId="19" xfId="0" applyNumberFormat="1" applyFont="1" applyBorder="1" applyAlignment="1">
      <alignment/>
    </xf>
    <xf numFmtId="196" fontId="2" fillId="0" borderId="58" xfId="0" applyNumberFormat="1" applyFont="1" applyBorder="1" applyAlignment="1">
      <alignment/>
    </xf>
    <xf numFmtId="194" fontId="2" fillId="0" borderId="11" xfId="0" applyNumberFormat="1" applyFont="1" applyBorder="1" applyAlignment="1">
      <alignment/>
    </xf>
    <xf numFmtId="191" fontId="4" fillId="34" borderId="0" xfId="44" applyNumberFormat="1" applyFont="1" applyFill="1" applyBorder="1" applyAlignment="1">
      <alignment horizontal="right"/>
    </xf>
    <xf numFmtId="0" fontId="4" fillId="34" borderId="32" xfId="0" applyNumberFormat="1" applyFont="1" applyFill="1" applyBorder="1" applyAlignment="1">
      <alignment/>
    </xf>
    <xf numFmtId="173" fontId="4" fillId="34" borderId="17" xfId="0" applyNumberFormat="1" applyFont="1" applyFill="1" applyBorder="1" applyAlignment="1">
      <alignment/>
    </xf>
    <xf numFmtId="1" fontId="2" fillId="34" borderId="66" xfId="0" applyNumberFormat="1" applyFont="1" applyFill="1" applyBorder="1" applyAlignment="1">
      <alignment/>
    </xf>
    <xf numFmtId="1" fontId="2" fillId="34" borderId="67" xfId="0" applyNumberFormat="1" applyFont="1" applyFill="1" applyBorder="1" applyAlignment="1">
      <alignment/>
    </xf>
    <xf numFmtId="0" fontId="2" fillId="0" borderId="126" xfId="0" applyFont="1" applyBorder="1" applyAlignment="1">
      <alignment/>
    </xf>
    <xf numFmtId="193" fontId="2" fillId="0" borderId="22" xfId="42" applyNumberFormat="1" applyFont="1" applyBorder="1" applyAlignment="1">
      <alignment/>
    </xf>
    <xf numFmtId="167" fontId="2" fillId="0" borderId="127" xfId="0" applyNumberFormat="1" applyFont="1" applyBorder="1" applyAlignment="1">
      <alignment horizontal="right"/>
    </xf>
    <xf numFmtId="191" fontId="2" fillId="0" borderId="27" xfId="44" applyNumberFormat="1" applyFont="1" applyBorder="1" applyAlignment="1">
      <alignment/>
    </xf>
    <xf numFmtId="9" fontId="2" fillId="0" borderId="37" xfId="58" applyFont="1" applyBorder="1" applyAlignment="1">
      <alignment horizontal="right"/>
    </xf>
    <xf numFmtId="0" fontId="17" fillId="0" borderId="11" xfId="0" applyNumberFormat="1" applyFont="1" applyBorder="1" applyAlignment="1">
      <alignment/>
    </xf>
    <xf numFmtId="0" fontId="16" fillId="0" borderId="11" xfId="0" applyFont="1" applyBorder="1" applyAlignment="1">
      <alignment/>
    </xf>
    <xf numFmtId="0" fontId="18" fillId="0" borderId="11" xfId="0" applyNumberFormat="1" applyFont="1" applyBorder="1" applyAlignment="1">
      <alignment/>
    </xf>
    <xf numFmtId="1" fontId="17" fillId="0" borderId="11" xfId="0" applyNumberFormat="1" applyFont="1" applyBorder="1" applyAlignment="1">
      <alignment/>
    </xf>
    <xf numFmtId="9" fontId="2" fillId="0" borderId="11" xfId="58" applyFont="1" applyBorder="1" applyAlignment="1">
      <alignment/>
    </xf>
    <xf numFmtId="0" fontId="2" fillId="0" borderId="128" xfId="0" applyFont="1" applyBorder="1" applyAlignment="1">
      <alignment/>
    </xf>
    <xf numFmtId="180" fontId="2" fillId="0" borderId="129" xfId="0" applyNumberFormat="1" applyFont="1" applyBorder="1" applyAlignment="1">
      <alignment horizontal="center"/>
    </xf>
    <xf numFmtId="0" fontId="2" fillId="0" borderId="130" xfId="0" applyFont="1" applyBorder="1" applyAlignment="1">
      <alignment/>
    </xf>
    <xf numFmtId="0" fontId="4" fillId="0" borderId="131" xfId="0" applyNumberFormat="1" applyFont="1" applyBorder="1" applyAlignment="1">
      <alignment horizontal="left"/>
    </xf>
    <xf numFmtId="169" fontId="4" fillId="33" borderId="94" xfId="0" applyNumberFormat="1" applyFont="1" applyFill="1" applyBorder="1" applyAlignment="1">
      <alignment/>
    </xf>
    <xf numFmtId="169" fontId="4" fillId="0" borderId="132" xfId="0" applyNumberFormat="1" applyFont="1" applyBorder="1" applyAlignment="1">
      <alignment/>
    </xf>
    <xf numFmtId="1" fontId="2" fillId="0" borderId="71" xfId="0" applyNumberFormat="1" applyFont="1" applyBorder="1" applyAlignment="1">
      <alignment/>
    </xf>
    <xf numFmtId="164" fontId="2" fillId="0" borderId="133" xfId="0" applyNumberFormat="1" applyFont="1" applyBorder="1" applyAlignment="1">
      <alignment/>
    </xf>
    <xf numFmtId="10" fontId="2" fillId="0" borderId="11" xfId="58" applyNumberFormat="1" applyFont="1" applyBorder="1" applyAlignment="1">
      <alignment/>
    </xf>
    <xf numFmtId="1" fontId="2" fillId="0" borderId="37" xfId="0" applyNumberFormat="1" applyFont="1" applyBorder="1" applyAlignment="1">
      <alignment/>
    </xf>
    <xf numFmtId="191" fontId="2" fillId="0" borderId="134" xfId="44" applyNumberFormat="1" applyFont="1" applyBorder="1" applyAlignment="1">
      <alignment/>
    </xf>
    <xf numFmtId="191" fontId="2" fillId="0" borderId="0" xfId="44" applyNumberFormat="1" applyFont="1" applyBorder="1" applyAlignment="1">
      <alignment/>
    </xf>
    <xf numFmtId="191" fontId="2" fillId="0" borderId="11" xfId="44" applyNumberFormat="1" applyFont="1" applyBorder="1" applyAlignment="1">
      <alignment/>
    </xf>
    <xf numFmtId="164" fontId="2" fillId="10" borderId="135" xfId="0" applyNumberFormat="1" applyFont="1" applyFill="1" applyBorder="1" applyAlignment="1">
      <alignment horizontal="left"/>
    </xf>
    <xf numFmtId="1" fontId="2" fillId="0" borderId="26" xfId="0" applyNumberFormat="1" applyFont="1" applyBorder="1" applyAlignment="1">
      <alignment/>
    </xf>
    <xf numFmtId="0" fontId="2" fillId="0" borderId="136" xfId="0" applyFont="1" applyBorder="1" applyAlignment="1">
      <alignment/>
    </xf>
    <xf numFmtId="164" fontId="2" fillId="10" borderId="137" xfId="0" applyNumberFormat="1" applyFont="1" applyFill="1" applyBorder="1" applyAlignment="1">
      <alignment/>
    </xf>
    <xf numFmtId="164" fontId="2" fillId="10" borderId="138" xfId="0" applyNumberFormat="1" applyFont="1" applyFill="1" applyBorder="1" applyAlignment="1">
      <alignment/>
    </xf>
    <xf numFmtId="164" fontId="2" fillId="10" borderId="139" xfId="0" applyNumberFormat="1" applyFont="1" applyFill="1" applyBorder="1" applyAlignment="1">
      <alignment/>
    </xf>
    <xf numFmtId="1" fontId="2" fillId="10" borderId="135" xfId="0" applyNumberFormat="1" applyFont="1" applyFill="1" applyBorder="1" applyAlignment="1">
      <alignment/>
    </xf>
    <xf numFmtId="164" fontId="2" fillId="0" borderId="37" xfId="0" applyNumberFormat="1" applyFont="1" applyBorder="1" applyAlignment="1">
      <alignment/>
    </xf>
    <xf numFmtId="0" fontId="2" fillId="10" borderId="140" xfId="0" applyNumberFormat="1" applyFont="1" applyFill="1" applyBorder="1" applyAlignment="1">
      <alignment/>
    </xf>
    <xf numFmtId="0" fontId="2" fillId="10" borderId="141" xfId="0" applyNumberFormat="1" applyFont="1" applyFill="1" applyBorder="1" applyAlignment="1">
      <alignment/>
    </xf>
    <xf numFmtId="164" fontId="2" fillId="10" borderId="135" xfId="0" applyNumberFormat="1" applyFont="1" applyFill="1" applyBorder="1" applyAlignment="1">
      <alignment/>
    </xf>
    <xf numFmtId="1" fontId="2" fillId="10" borderId="142" xfId="0" applyNumberFormat="1" applyFont="1" applyFill="1" applyBorder="1" applyAlignment="1">
      <alignment/>
    </xf>
    <xf numFmtId="1" fontId="2" fillId="10" borderId="143" xfId="0" applyNumberFormat="1" applyFont="1" applyFill="1" applyBorder="1" applyAlignment="1">
      <alignment/>
    </xf>
    <xf numFmtId="164" fontId="2" fillId="0" borderId="111" xfId="0" applyNumberFormat="1" applyFont="1" applyBorder="1" applyAlignment="1">
      <alignment/>
    </xf>
    <xf numFmtId="0" fontId="2" fillId="0" borderId="26" xfId="0" applyNumberFormat="1" applyFont="1" applyBorder="1" applyAlignment="1">
      <alignment/>
    </xf>
    <xf numFmtId="0" fontId="4" fillId="0" borderId="68" xfId="0" applyNumberFormat="1" applyFont="1" applyBorder="1" applyAlignment="1">
      <alignment/>
    </xf>
    <xf numFmtId="1" fontId="4" fillId="0" borderId="69" xfId="0" applyNumberFormat="1" applyFont="1" applyBorder="1" applyAlignment="1">
      <alignment/>
    </xf>
    <xf numFmtId="167" fontId="4" fillId="0" borderId="70" xfId="0" applyNumberFormat="1" applyFont="1" applyBorder="1" applyAlignment="1">
      <alignment horizontal="right"/>
    </xf>
    <xf numFmtId="0" fontId="16" fillId="10" borderId="142" xfId="0" applyNumberFormat="1" applyFont="1" applyFill="1" applyBorder="1" applyAlignment="1">
      <alignment/>
    </xf>
    <xf numFmtId="1" fontId="16" fillId="10" borderId="144" xfId="0" applyNumberFormat="1" applyFont="1" applyFill="1" applyBorder="1" applyAlignment="1">
      <alignment/>
    </xf>
    <xf numFmtId="164" fontId="16" fillId="10" borderId="143" xfId="0" applyNumberFormat="1" applyFont="1" applyFill="1" applyBorder="1" applyAlignment="1">
      <alignment horizontal="right"/>
    </xf>
    <xf numFmtId="167" fontId="2" fillId="0" borderId="37" xfId="0" applyNumberFormat="1" applyFont="1" applyBorder="1" applyAlignment="1">
      <alignment/>
    </xf>
    <xf numFmtId="0" fontId="2" fillId="0" borderId="125" xfId="0" applyFont="1" applyBorder="1" applyAlignment="1">
      <alignment/>
    </xf>
    <xf numFmtId="167" fontId="2" fillId="0" borderId="71" xfId="0" applyNumberFormat="1" applyFont="1" applyBorder="1" applyAlignment="1">
      <alignment horizontal="right"/>
    </xf>
    <xf numFmtId="0" fontId="2" fillId="0" borderId="145" xfId="0" applyFont="1" applyBorder="1" applyAlignment="1">
      <alignment/>
    </xf>
    <xf numFmtId="167" fontId="4" fillId="10" borderId="146" xfId="0" applyNumberFormat="1" applyFont="1" applyFill="1" applyBorder="1" applyAlignment="1">
      <alignment horizontal="right"/>
    </xf>
    <xf numFmtId="0" fontId="2" fillId="10" borderId="147" xfId="0" applyFont="1" applyFill="1" applyBorder="1" applyAlignment="1">
      <alignment/>
    </xf>
    <xf numFmtId="0" fontId="2" fillId="10" borderId="143" xfId="0" applyFont="1" applyFill="1" applyBorder="1" applyAlignment="1">
      <alignment/>
    </xf>
    <xf numFmtId="169" fontId="4" fillId="34" borderId="0" xfId="58" applyNumberFormat="1" applyFont="1" applyFill="1" applyBorder="1" applyAlignment="1">
      <alignment horizontal="right"/>
    </xf>
    <xf numFmtId="166" fontId="2" fillId="0" borderId="62" xfId="0" applyNumberFormat="1" applyFont="1" applyBorder="1" applyAlignment="1">
      <alignment horizontal="right"/>
    </xf>
    <xf numFmtId="0" fontId="59" fillId="36" borderId="0" xfId="0" applyNumberFormat="1" applyFont="1" applyFill="1" applyAlignment="1">
      <alignment/>
    </xf>
    <xf numFmtId="0" fontId="2" fillId="36" borderId="0" xfId="0" applyNumberFormat="1" applyFont="1" applyFill="1" applyAlignment="1">
      <alignment/>
    </xf>
    <xf numFmtId="193" fontId="59" fillId="36" borderId="0" xfId="42" applyNumberFormat="1" applyFont="1" applyFill="1" applyAlignment="1">
      <alignment/>
    </xf>
    <xf numFmtId="0" fontId="60" fillId="36" borderId="0" xfId="0" applyNumberFormat="1" applyFont="1" applyFill="1" applyAlignment="1">
      <alignment/>
    </xf>
    <xf numFmtId="0" fontId="2" fillId="36" borderId="148" xfId="0" applyNumberFormat="1" applyFont="1" applyFill="1" applyBorder="1" applyAlignment="1">
      <alignment/>
    </xf>
    <xf numFmtId="9" fontId="4" fillId="0" borderId="58" xfId="58" applyFont="1" applyBorder="1" applyAlignment="1">
      <alignment/>
    </xf>
    <xf numFmtId="167" fontId="4" fillId="10" borderId="87" xfId="0" applyNumberFormat="1" applyFont="1" applyFill="1" applyBorder="1" applyAlignment="1">
      <alignment horizontal="center"/>
    </xf>
    <xf numFmtId="0" fontId="19" fillId="0" borderId="149" xfId="0" applyFont="1" applyFill="1" applyBorder="1" applyAlignment="1">
      <alignment horizontal="center" vertical="center" wrapText="1"/>
    </xf>
    <xf numFmtId="0" fontId="19" fillId="0" borderId="149" xfId="0" applyFont="1" applyFill="1" applyBorder="1" applyAlignment="1">
      <alignment horizontal="right" vertical="center" wrapText="1" indent="2"/>
    </xf>
    <xf numFmtId="0" fontId="0" fillId="0" borderId="149" xfId="0" applyFill="1" applyBorder="1" applyAlignment="1">
      <alignment horizontal="center" vertical="top" wrapText="1"/>
    </xf>
    <xf numFmtId="1" fontId="61" fillId="2" borderId="149" xfId="0" applyNumberFormat="1" applyFont="1" applyFill="1" applyBorder="1" applyAlignment="1">
      <alignment horizontal="center" vertical="top" shrinkToFit="1"/>
    </xf>
    <xf numFmtId="0" fontId="19" fillId="2" borderId="149" xfId="0" applyFont="1" applyFill="1" applyBorder="1" applyAlignment="1">
      <alignment horizontal="center" vertical="top" wrapText="1"/>
    </xf>
    <xf numFmtId="0" fontId="0" fillId="2" borderId="149" xfId="0" applyFill="1" applyBorder="1" applyAlignment="1">
      <alignment horizontal="center" vertical="top" wrapText="1"/>
    </xf>
    <xf numFmtId="0" fontId="0" fillId="2" borderId="0" xfId="0" applyFont="1" applyFill="1" applyAlignment="1">
      <alignment vertical="top" wrapText="1"/>
    </xf>
    <xf numFmtId="1" fontId="61" fillId="5" borderId="149" xfId="0" applyNumberFormat="1" applyFont="1" applyFill="1" applyBorder="1" applyAlignment="1">
      <alignment horizontal="center" vertical="top" shrinkToFit="1"/>
    </xf>
    <xf numFmtId="0" fontId="0" fillId="5" borderId="149" xfId="0" applyFill="1" applyBorder="1" applyAlignment="1">
      <alignment horizontal="center" vertical="top" wrapText="1"/>
    </xf>
    <xf numFmtId="0" fontId="19" fillId="5" borderId="149" xfId="0" applyFont="1" applyFill="1" applyBorder="1" applyAlignment="1">
      <alignment horizontal="right" vertical="top" wrapText="1" indent="3"/>
    </xf>
    <xf numFmtId="0" fontId="0" fillId="5" borderId="0" xfId="0" applyFont="1" applyFill="1" applyAlignment="1">
      <alignment vertical="top" wrapText="1"/>
    </xf>
    <xf numFmtId="1" fontId="61" fillId="11" borderId="149" xfId="0" applyNumberFormat="1" applyFont="1" applyFill="1" applyBorder="1" applyAlignment="1">
      <alignment horizontal="center" vertical="top" shrinkToFit="1"/>
    </xf>
    <xf numFmtId="0" fontId="0" fillId="11" borderId="149" xfId="0" applyFill="1" applyBorder="1" applyAlignment="1">
      <alignment horizontal="center" vertical="top" wrapText="1"/>
    </xf>
    <xf numFmtId="0" fontId="19" fillId="11" borderId="149" xfId="0" applyFont="1" applyFill="1" applyBorder="1" applyAlignment="1">
      <alignment horizontal="right" vertical="top" wrapText="1" indent="3"/>
    </xf>
    <xf numFmtId="0" fontId="0" fillId="11" borderId="0" xfId="0" applyFont="1" applyFill="1" applyAlignment="1">
      <alignment vertical="top" wrapText="1"/>
    </xf>
    <xf numFmtId="1" fontId="61" fillId="17" borderId="149" xfId="0" applyNumberFormat="1" applyFont="1" applyFill="1" applyBorder="1" applyAlignment="1">
      <alignment horizontal="center" vertical="top" shrinkToFit="1"/>
    </xf>
    <xf numFmtId="0" fontId="0" fillId="17" borderId="149" xfId="0" applyFill="1" applyBorder="1" applyAlignment="1">
      <alignment horizontal="center" vertical="top" wrapText="1"/>
    </xf>
    <xf numFmtId="0" fontId="19" fillId="17" borderId="149" xfId="0" applyFont="1" applyFill="1" applyBorder="1" applyAlignment="1">
      <alignment horizontal="right" vertical="top" wrapText="1" indent="3"/>
    </xf>
    <xf numFmtId="0" fontId="0" fillId="17" borderId="0" xfId="0" applyFont="1" applyFill="1" applyAlignment="1">
      <alignment vertical="top" wrapText="1"/>
    </xf>
    <xf numFmtId="3" fontId="0" fillId="0" borderId="0" xfId="0" applyNumberFormat="1" applyFont="1" applyAlignment="1">
      <alignment vertical="top" wrapText="1"/>
    </xf>
    <xf numFmtId="3" fontId="0" fillId="5" borderId="0" xfId="0" applyNumberFormat="1" applyFont="1" applyFill="1" applyAlignment="1">
      <alignment vertical="top" wrapText="1"/>
    </xf>
    <xf numFmtId="3" fontId="0" fillId="2" borderId="0" xfId="0" applyNumberFormat="1" applyFont="1" applyFill="1" applyAlignment="1">
      <alignment vertical="top" wrapText="1"/>
    </xf>
    <xf numFmtId="3" fontId="0" fillId="11" borderId="0" xfId="0" applyNumberFormat="1" applyFont="1" applyFill="1" applyAlignment="1">
      <alignment vertical="top" wrapText="1"/>
    </xf>
    <xf numFmtId="3" fontId="0" fillId="17" borderId="0" xfId="0" applyNumberFormat="1" applyFont="1" applyFill="1" applyAlignment="1">
      <alignment vertical="top" wrapText="1"/>
    </xf>
    <xf numFmtId="0" fontId="0" fillId="37" borderId="0" xfId="0" applyFont="1" applyFill="1" applyAlignment="1">
      <alignment vertical="top" wrapText="1"/>
    </xf>
    <xf numFmtId="3" fontId="0" fillId="37" borderId="0" xfId="0" applyNumberFormat="1" applyFont="1" applyFill="1" applyAlignment="1">
      <alignment vertical="top" wrapText="1"/>
    </xf>
    <xf numFmtId="0" fontId="0" fillId="37" borderId="0" xfId="0" applyFont="1" applyFill="1" applyAlignment="1">
      <alignment vertical="top" wrapText="1"/>
    </xf>
    <xf numFmtId="1" fontId="61" fillId="38" borderId="149" xfId="0" applyNumberFormat="1" applyFont="1" applyFill="1" applyBorder="1" applyAlignment="1">
      <alignment horizontal="center" vertical="top" shrinkToFit="1"/>
    </xf>
    <xf numFmtId="0" fontId="0" fillId="38" borderId="149" xfId="0" applyFill="1" applyBorder="1" applyAlignment="1">
      <alignment horizontal="center" vertical="top" wrapText="1"/>
    </xf>
    <xf numFmtId="0" fontId="19" fillId="38" borderId="149" xfId="0" applyFont="1" applyFill="1" applyBorder="1" applyAlignment="1">
      <alignment horizontal="right" vertical="top" wrapText="1" indent="3"/>
    </xf>
    <xf numFmtId="0" fontId="19" fillId="38" borderId="149" xfId="0" applyFont="1" applyFill="1" applyBorder="1" applyAlignment="1">
      <alignment horizontal="center" vertical="top" wrapText="1"/>
    </xf>
    <xf numFmtId="164" fontId="4" fillId="15" borderId="15" xfId="0" applyNumberFormat="1" applyFont="1" applyFill="1" applyBorder="1" applyAlignment="1">
      <alignment horizontal="left"/>
    </xf>
    <xf numFmtId="0" fontId="2" fillId="15" borderId="0" xfId="0" applyNumberFormat="1" applyFont="1" applyFill="1" applyAlignment="1">
      <alignment/>
    </xf>
    <xf numFmtId="0" fontId="2" fillId="15" borderId="11" xfId="0" applyNumberFormat="1" applyFont="1" applyFill="1" applyBorder="1" applyAlignment="1">
      <alignment/>
    </xf>
    <xf numFmtId="164" fontId="2" fillId="15" borderId="23" xfId="0" applyNumberFormat="1" applyFont="1" applyFill="1" applyBorder="1" applyAlignment="1">
      <alignment/>
    </xf>
    <xf numFmtId="164" fontId="2" fillId="15" borderId="12" xfId="0" applyNumberFormat="1" applyFont="1" applyFill="1" applyBorder="1" applyAlignment="1">
      <alignment/>
    </xf>
    <xf numFmtId="174" fontId="4" fillId="36" borderId="67" xfId="0" applyNumberFormat="1" applyFont="1" applyFill="1" applyBorder="1" applyAlignment="1">
      <alignment horizontal="right"/>
    </xf>
    <xf numFmtId="164" fontId="4" fillId="39" borderId="62" xfId="0" applyNumberFormat="1" applyFont="1" applyFill="1" applyBorder="1" applyAlignment="1">
      <alignment horizontal="right"/>
    </xf>
    <xf numFmtId="167" fontId="2" fillId="39" borderId="62" xfId="0" applyNumberFormat="1" applyFont="1" applyFill="1" applyBorder="1" applyAlignment="1">
      <alignment horizontal="right"/>
    </xf>
    <xf numFmtId="0" fontId="16" fillId="40" borderId="150" xfId="0" applyFont="1" applyFill="1" applyBorder="1" applyAlignment="1">
      <alignment/>
    </xf>
    <xf numFmtId="0" fontId="16" fillId="40" borderId="151" xfId="0" applyFont="1" applyFill="1" applyBorder="1" applyAlignment="1">
      <alignment/>
    </xf>
    <xf numFmtId="0" fontId="2" fillId="0" borderId="61" xfId="0" applyNumberFormat="1" applyFont="1" applyBorder="1" applyAlignment="1">
      <alignment/>
    </xf>
    <xf numFmtId="38" fontId="2" fillId="0" borderId="142" xfId="0" applyNumberFormat="1" applyFont="1" applyFill="1" applyBorder="1" applyAlignment="1">
      <alignment/>
    </xf>
    <xf numFmtId="38" fontId="2" fillId="0" borderId="147" xfId="0" applyNumberFormat="1" applyFont="1" applyFill="1" applyBorder="1" applyAlignment="1">
      <alignment/>
    </xf>
    <xf numFmtId="173" fontId="2" fillId="0" borderId="152" xfId="0" applyNumberFormat="1" applyFont="1" applyFill="1" applyBorder="1" applyAlignment="1">
      <alignment/>
    </xf>
    <xf numFmtId="1" fontId="16" fillId="0" borderId="63" xfId="0" applyNumberFormat="1" applyFont="1" applyBorder="1" applyAlignment="1">
      <alignment/>
    </xf>
    <xf numFmtId="169" fontId="4" fillId="33" borderId="87" xfId="0" applyNumberFormat="1" applyFont="1" applyFill="1" applyBorder="1" applyAlignment="1">
      <alignment/>
    </xf>
    <xf numFmtId="173" fontId="2" fillId="0" borderId="92" xfId="0" applyNumberFormat="1" applyFont="1" applyFill="1" applyBorder="1" applyAlignment="1">
      <alignment/>
    </xf>
    <xf numFmtId="0" fontId="2" fillId="0" borderId="70" xfId="0" applyNumberFormat="1" applyFont="1" applyBorder="1" applyAlignment="1">
      <alignment/>
    </xf>
    <xf numFmtId="173" fontId="2" fillId="40" borderId="153" xfId="0" applyNumberFormat="1" applyFont="1" applyFill="1" applyBorder="1" applyAlignment="1">
      <alignment/>
    </xf>
    <xf numFmtId="173" fontId="2" fillId="40" borderId="154" xfId="0" applyNumberFormat="1" applyFont="1" applyFill="1" applyBorder="1" applyAlignment="1">
      <alignment/>
    </xf>
    <xf numFmtId="173" fontId="16" fillId="40" borderId="155" xfId="0" applyNumberFormat="1" applyFont="1" applyFill="1" applyBorder="1" applyAlignment="1">
      <alignment/>
    </xf>
    <xf numFmtId="0" fontId="2" fillId="0" borderId="0" xfId="0" applyFont="1" applyBorder="1" applyAlignment="1">
      <alignment/>
    </xf>
    <xf numFmtId="173" fontId="2" fillId="0" borderId="156" xfId="0" applyNumberFormat="1" applyFont="1" applyFill="1" applyBorder="1" applyAlignment="1">
      <alignment/>
    </xf>
    <xf numFmtId="0" fontId="2" fillId="0" borderId="157" xfId="0" applyFont="1" applyBorder="1" applyAlignment="1">
      <alignment/>
    </xf>
    <xf numFmtId="165" fontId="4" fillId="0" borderId="40" xfId="0" applyNumberFormat="1" applyFont="1" applyBorder="1" applyAlignment="1">
      <alignment horizontal="center" wrapText="1"/>
    </xf>
    <xf numFmtId="165" fontId="4" fillId="0" borderId="38" xfId="0" applyNumberFormat="1" applyFont="1" applyBorder="1" applyAlignment="1">
      <alignment horizontal="center" wrapText="1"/>
    </xf>
    <xf numFmtId="165" fontId="4" fillId="0" borderId="28" xfId="0" applyNumberFormat="1" applyFont="1" applyBorder="1" applyAlignment="1">
      <alignment horizontal="center" wrapText="1"/>
    </xf>
    <xf numFmtId="0" fontId="3" fillId="0" borderId="158" xfId="0" applyNumberFormat="1" applyFont="1" applyBorder="1" applyAlignment="1">
      <alignment horizontal="center" wrapText="1"/>
    </xf>
    <xf numFmtId="1" fontId="3" fillId="0" borderId="56" xfId="0" applyNumberFormat="1" applyFont="1" applyBorder="1" applyAlignment="1">
      <alignment horizontal="center" wrapText="1"/>
    </xf>
    <xf numFmtId="1" fontId="3" fillId="0" borderId="159" xfId="0" applyNumberFormat="1" applyFont="1" applyBorder="1" applyAlignment="1">
      <alignment horizontal="center" wrapText="1"/>
    </xf>
    <xf numFmtId="0" fontId="4" fillId="34" borderId="18" xfId="0" applyNumberFormat="1" applyFont="1" applyFill="1" applyBorder="1" applyAlignment="1">
      <alignment horizontal="center"/>
    </xf>
    <xf numFmtId="1" fontId="4" fillId="34" borderId="19" xfId="0" applyNumberFormat="1" applyFont="1" applyFill="1" applyBorder="1" applyAlignment="1">
      <alignment horizontal="center"/>
    </xf>
    <xf numFmtId="1" fontId="4" fillId="34" borderId="88" xfId="0" applyNumberFormat="1" applyFont="1" applyFill="1" applyBorder="1" applyAlignment="1">
      <alignment horizontal="center"/>
    </xf>
    <xf numFmtId="1" fontId="12" fillId="35" borderId="160" xfId="0" applyNumberFormat="1" applyFont="1" applyFill="1" applyBorder="1" applyAlignment="1">
      <alignment horizontal="left"/>
    </xf>
    <xf numFmtId="1" fontId="12" fillId="35" borderId="161" xfId="0" applyNumberFormat="1" applyFont="1" applyFill="1" applyBorder="1" applyAlignment="1">
      <alignment horizontal="left"/>
    </xf>
    <xf numFmtId="0" fontId="13" fillId="35" borderId="160" xfId="0" applyNumberFormat="1" applyFont="1" applyFill="1" applyBorder="1" applyAlignment="1">
      <alignment horizontal="right"/>
    </xf>
    <xf numFmtId="1" fontId="13" fillId="35" borderId="162" xfId="0" applyNumberFormat="1" applyFont="1" applyFill="1" applyBorder="1" applyAlignment="1">
      <alignment horizontal="right"/>
    </xf>
    <xf numFmtId="1" fontId="13" fillId="35" borderId="161" xfId="0" applyNumberFormat="1" applyFont="1" applyFill="1" applyBorder="1" applyAlignment="1">
      <alignment horizontal="right"/>
    </xf>
    <xf numFmtId="0" fontId="11" fillId="35" borderId="163" xfId="0" applyNumberFormat="1" applyFont="1" applyFill="1" applyBorder="1" applyAlignment="1">
      <alignment horizontal="left"/>
    </xf>
    <xf numFmtId="1" fontId="11" fillId="35" borderId="136" xfId="0" applyNumberFormat="1" applyFont="1" applyFill="1" applyBorder="1" applyAlignment="1">
      <alignment horizontal="left"/>
    </xf>
    <xf numFmtId="1" fontId="11" fillId="35" borderId="164" xfId="0" applyNumberFormat="1" applyFont="1" applyFill="1" applyBorder="1" applyAlignment="1">
      <alignment horizontal="left"/>
    </xf>
    <xf numFmtId="0" fontId="21" fillId="0" borderId="0" xfId="0" applyFont="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DD0806"/>
      <rgbColor rgb="00AAAAAA"/>
      <rgbColor rgb="00FCF305"/>
      <rgbColor rgb="00C0C0C0"/>
      <rgbColor rgb="000000D4"/>
      <rgbColor rgb="00333333"/>
      <rgbColor rgb="00FFFFFF"/>
      <rgbColor rgb="00900000"/>
      <rgbColor rgb="0080808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113"/>
  <sheetViews>
    <sheetView showGridLines="0" zoomScalePageLayoutView="0" workbookViewId="0" topLeftCell="A91">
      <selection activeCell="M70" sqref="M70"/>
    </sheetView>
  </sheetViews>
  <sheetFormatPr defaultColWidth="6.59765625" defaultRowHeight="12.75" customHeight="1"/>
  <cols>
    <col min="1" max="1" width="6.59765625" style="1" customWidth="1"/>
    <col min="2" max="2" width="22.8984375" style="1" customWidth="1"/>
    <col min="3" max="3" width="8" style="1" customWidth="1"/>
    <col min="4" max="4" width="7.59765625" style="1" customWidth="1"/>
    <col min="5" max="6" width="6.59765625" style="1" customWidth="1"/>
    <col min="7" max="7" width="7.09765625" style="1" customWidth="1"/>
    <col min="8" max="8" width="9.09765625" style="1" customWidth="1"/>
    <col min="9" max="9" width="8.59765625" style="1" customWidth="1"/>
    <col min="10" max="10" width="6.5" style="1" customWidth="1"/>
    <col min="11" max="11" width="11.5" style="1" customWidth="1"/>
    <col min="12" max="13" width="6.59765625" style="1" customWidth="1"/>
    <col min="14" max="14" width="7.8984375" style="1" bestFit="1" customWidth="1"/>
    <col min="15" max="16384" width="6.59765625" style="1" customWidth="1"/>
  </cols>
  <sheetData>
    <row r="1" spans="1:11" ht="24" customHeight="1">
      <c r="A1" s="518" t="str">
        <f>'pro forma'!A1:I1</f>
        <v>Atomic Orchard Lofts North - 12 Lofts at 50% MFI for Social Workers</v>
      </c>
      <c r="B1" s="519"/>
      <c r="C1" s="519"/>
      <c r="D1" s="519"/>
      <c r="E1" s="519"/>
      <c r="F1" s="519"/>
      <c r="G1" s="519"/>
      <c r="H1" s="519"/>
      <c r="I1" s="519"/>
      <c r="J1" s="519"/>
      <c r="K1" s="520"/>
    </row>
    <row r="2" spans="1:11" ht="12" customHeight="1">
      <c r="A2" s="2"/>
      <c r="B2" s="3"/>
      <c r="C2" s="3"/>
      <c r="D2" s="3"/>
      <c r="E2" s="3"/>
      <c r="F2" s="3"/>
      <c r="G2" s="3"/>
      <c r="H2" s="3"/>
      <c r="I2" s="4"/>
      <c r="J2" s="4"/>
      <c r="K2" s="5"/>
    </row>
    <row r="3" spans="1:11" ht="12" customHeight="1">
      <c r="A3" s="515">
        <f>'pro forma'!A3:I3</f>
        <v>44146</v>
      </c>
      <c r="B3" s="516"/>
      <c r="C3" s="516"/>
      <c r="D3" s="516"/>
      <c r="E3" s="516"/>
      <c r="F3" s="516"/>
      <c r="G3" s="516"/>
      <c r="H3" s="516"/>
      <c r="I3" s="516"/>
      <c r="J3" s="516"/>
      <c r="K3" s="517"/>
    </row>
    <row r="4" spans="1:15" ht="18.75" customHeight="1">
      <c r="A4" s="6" t="s">
        <v>0</v>
      </c>
      <c r="B4" s="376"/>
      <c r="C4" s="371"/>
      <c r="D4" s="371"/>
      <c r="E4" s="371"/>
      <c r="F4" s="371"/>
      <c r="G4" s="371"/>
      <c r="H4" s="371"/>
      <c r="I4" s="377">
        <f>'pro forma'!C28</f>
        <v>130</v>
      </c>
      <c r="J4" s="378" t="s">
        <v>1</v>
      </c>
      <c r="K4" s="8">
        <f>'pro forma'!E28</f>
        <v>2340000</v>
      </c>
      <c r="N4" s="453" t="s">
        <v>272</v>
      </c>
      <c r="O4" s="454"/>
    </row>
    <row r="5" spans="1:15" ht="16.5" customHeight="1">
      <c r="A5" s="9" t="s">
        <v>2</v>
      </c>
      <c r="B5" s="374"/>
      <c r="C5" s="171"/>
      <c r="D5" s="172"/>
      <c r="E5" s="172"/>
      <c r="F5" s="172"/>
      <c r="G5" s="172"/>
      <c r="H5" s="172"/>
      <c r="I5" s="375"/>
      <c r="J5" s="375"/>
      <c r="K5" s="14"/>
      <c r="N5" s="454"/>
      <c r="O5" s="454"/>
    </row>
    <row r="6" spans="1:15" ht="15.75" customHeight="1">
      <c r="A6" s="15"/>
      <c r="B6" s="16" t="s">
        <v>3</v>
      </c>
      <c r="C6" s="17"/>
      <c r="D6" s="17"/>
      <c r="E6" s="17"/>
      <c r="F6" s="17"/>
      <c r="G6" s="18">
        <f>'pro forma'!C30</f>
        <v>185</v>
      </c>
      <c r="H6" s="16" t="s">
        <v>4</v>
      </c>
      <c r="I6" s="19">
        <f>('pro forma'!E30+'pro forma'!E32)</f>
        <v>7401110</v>
      </c>
      <c r="J6" s="20"/>
      <c r="K6" s="21"/>
      <c r="N6" s="454"/>
      <c r="O6" s="454"/>
    </row>
    <row r="7" spans="1:15" ht="15.75" customHeight="1">
      <c r="A7" s="22"/>
      <c r="B7" s="3"/>
      <c r="C7" s="3"/>
      <c r="D7" s="3"/>
      <c r="E7" s="3"/>
      <c r="F7" s="23" t="s">
        <v>5</v>
      </c>
      <c r="G7" s="24">
        <v>0</v>
      </c>
      <c r="H7" s="23" t="s">
        <v>4</v>
      </c>
      <c r="I7" s="25">
        <f>G7*'pro forma'!E17</f>
        <v>0</v>
      </c>
      <c r="J7" s="4"/>
      <c r="K7" s="5"/>
      <c r="N7" s="454"/>
      <c r="O7" s="454"/>
    </row>
    <row r="8" spans="1:15" ht="15.75" customHeight="1">
      <c r="A8" s="22"/>
      <c r="B8" s="3"/>
      <c r="C8" s="3"/>
      <c r="D8" s="3"/>
      <c r="E8" s="3"/>
      <c r="F8" s="23" t="s">
        <v>5</v>
      </c>
      <c r="G8" s="24">
        <v>0</v>
      </c>
      <c r="H8" s="23" t="s">
        <v>4</v>
      </c>
      <c r="I8" s="25">
        <v>0</v>
      </c>
      <c r="J8" s="4"/>
      <c r="K8" s="5"/>
      <c r="N8" s="454"/>
      <c r="O8" s="454"/>
    </row>
    <row r="9" spans="1:15" ht="15.75" customHeight="1">
      <c r="A9" s="22"/>
      <c r="B9" s="23" t="s">
        <v>6</v>
      </c>
      <c r="C9" s="3"/>
      <c r="D9" s="3"/>
      <c r="E9" s="3"/>
      <c r="F9" s="23" t="s">
        <v>5</v>
      </c>
      <c r="G9" s="24">
        <v>0</v>
      </c>
      <c r="H9" s="23" t="s">
        <v>4</v>
      </c>
      <c r="I9" s="25">
        <f>G9*'pro forma'!E19</f>
        <v>0</v>
      </c>
      <c r="J9" s="4"/>
      <c r="K9" s="5"/>
      <c r="N9" s="454"/>
      <c r="O9" s="454"/>
    </row>
    <row r="10" spans="1:15" ht="15.75" customHeight="1">
      <c r="A10" s="22"/>
      <c r="B10" s="23" t="s">
        <v>7</v>
      </c>
      <c r="C10" s="3"/>
      <c r="D10" s="3"/>
      <c r="E10" s="3"/>
      <c r="F10" s="23" t="s">
        <v>5</v>
      </c>
      <c r="G10" s="24">
        <v>0</v>
      </c>
      <c r="H10" s="23" t="s">
        <v>4</v>
      </c>
      <c r="I10" s="25">
        <f>G10*'pro forma'!E22</f>
        <v>0</v>
      </c>
      <c r="J10" s="4"/>
      <c r="K10" s="5"/>
      <c r="N10" s="454"/>
      <c r="O10" s="454"/>
    </row>
    <row r="11" spans="1:15" ht="15.75" customHeight="1">
      <c r="A11" s="22"/>
      <c r="B11" s="23" t="s">
        <v>8</v>
      </c>
      <c r="C11" s="3"/>
      <c r="D11" s="3"/>
      <c r="E11" s="3"/>
      <c r="F11" s="23" t="s">
        <v>5</v>
      </c>
      <c r="G11" s="24">
        <v>0</v>
      </c>
      <c r="H11" s="23" t="s">
        <v>4</v>
      </c>
      <c r="I11" s="25">
        <f>G11*'pro forma'!E24</f>
        <v>0</v>
      </c>
      <c r="J11" s="4"/>
      <c r="K11" s="5"/>
      <c r="N11" s="454"/>
      <c r="O11" s="454"/>
    </row>
    <row r="12" spans="1:15" ht="15.75" customHeight="1">
      <c r="A12" s="22"/>
      <c r="B12" s="23" t="s">
        <v>9</v>
      </c>
      <c r="C12" s="3"/>
      <c r="D12" s="3"/>
      <c r="E12" s="3"/>
      <c r="F12" s="23" t="s">
        <v>10</v>
      </c>
      <c r="G12" s="24">
        <v>0</v>
      </c>
      <c r="H12" s="23" t="s">
        <v>4</v>
      </c>
      <c r="I12" s="25">
        <f>G12*'pro forma'!E25</f>
        <v>0</v>
      </c>
      <c r="J12" s="4"/>
      <c r="K12" s="5"/>
      <c r="N12" s="454"/>
      <c r="O12" s="454"/>
    </row>
    <row r="13" spans="1:15" ht="15.75" customHeight="1">
      <c r="A13" s="22"/>
      <c r="B13" s="23" t="s">
        <v>11</v>
      </c>
      <c r="C13" s="3"/>
      <c r="D13" s="3"/>
      <c r="E13" s="3"/>
      <c r="F13" s="23" t="s">
        <v>10</v>
      </c>
      <c r="G13" s="24">
        <v>0</v>
      </c>
      <c r="H13" s="23" t="s">
        <v>4</v>
      </c>
      <c r="I13" s="25">
        <f>'pro forma'!E33</f>
        <v>111016.65</v>
      </c>
      <c r="J13" s="4"/>
      <c r="K13" s="5"/>
      <c r="N13" s="454"/>
      <c r="O13" s="454"/>
    </row>
    <row r="14" spans="1:15" ht="15.75" customHeight="1">
      <c r="A14" s="22"/>
      <c r="B14" s="23" t="s">
        <v>12</v>
      </c>
      <c r="C14" s="3"/>
      <c r="D14" s="3"/>
      <c r="E14" s="3"/>
      <c r="F14" s="23" t="s">
        <v>10</v>
      </c>
      <c r="G14" s="24">
        <v>0</v>
      </c>
      <c r="H14" s="23" t="s">
        <v>4</v>
      </c>
      <c r="I14" s="25">
        <f>G14*'pro forma'!E27</f>
        <v>0</v>
      </c>
      <c r="J14" s="4"/>
      <c r="K14" s="5"/>
      <c r="N14" s="454"/>
      <c r="O14" s="454"/>
    </row>
    <row r="15" spans="1:15" ht="15.75" customHeight="1">
      <c r="A15" s="22"/>
      <c r="B15" s="26" t="s">
        <v>13</v>
      </c>
      <c r="C15" s="27"/>
      <c r="D15" s="28"/>
      <c r="E15" s="28"/>
      <c r="F15" s="26" t="s">
        <v>10</v>
      </c>
      <c r="G15" s="29">
        <v>0</v>
      </c>
      <c r="H15" s="26" t="s">
        <v>4</v>
      </c>
      <c r="I15" s="30">
        <v>0</v>
      </c>
      <c r="J15" s="4"/>
      <c r="K15" s="5"/>
      <c r="N15" s="454"/>
      <c r="O15" s="454"/>
    </row>
    <row r="16" spans="1:15" ht="15.75" customHeight="1">
      <c r="A16" s="31"/>
      <c r="B16" s="32" t="s">
        <v>14</v>
      </c>
      <c r="C16" s="33"/>
      <c r="D16" s="34"/>
      <c r="E16" s="34" t="s">
        <v>245</v>
      </c>
      <c r="F16" s="454"/>
      <c r="G16" s="34"/>
      <c r="H16" s="34"/>
      <c r="I16" s="35">
        <f>I6+I13</f>
        <v>7512126.65</v>
      </c>
      <c r="J16" s="36"/>
      <c r="K16" s="5"/>
      <c r="N16" s="454"/>
      <c r="O16" s="454"/>
    </row>
    <row r="17" spans="1:15" ht="15.75" customHeight="1">
      <c r="A17" s="31"/>
      <c r="B17" s="37" t="s">
        <v>15</v>
      </c>
      <c r="C17" s="38">
        <f>'pro forma'!C34</f>
        <v>0.05</v>
      </c>
      <c r="D17" s="39"/>
      <c r="E17" s="39"/>
      <c r="F17" s="39"/>
      <c r="G17" s="39"/>
      <c r="H17" s="39"/>
      <c r="I17" s="40">
        <f>I16*C17</f>
        <v>375606.3325</v>
      </c>
      <c r="J17" s="36"/>
      <c r="K17" s="5"/>
      <c r="N17" s="454"/>
      <c r="O17" s="454"/>
    </row>
    <row r="18" spans="1:15" ht="16.5" customHeight="1">
      <c r="A18" s="22"/>
      <c r="B18" s="41"/>
      <c r="C18" s="41"/>
      <c r="D18" s="41"/>
      <c r="E18" s="41"/>
      <c r="F18" s="41"/>
      <c r="G18" s="41"/>
      <c r="H18" s="41"/>
      <c r="I18" s="42"/>
      <c r="J18" s="4"/>
      <c r="K18" s="43"/>
      <c r="N18" s="454"/>
      <c r="O18" s="454"/>
    </row>
    <row r="19" spans="1:15" ht="16.5" customHeight="1" thickBot="1">
      <c r="A19" s="44"/>
      <c r="B19" s="45" t="s">
        <v>16</v>
      </c>
      <c r="C19" s="46"/>
      <c r="D19" s="46"/>
      <c r="E19" s="46"/>
      <c r="F19" s="46"/>
      <c r="G19" s="46"/>
      <c r="H19" s="46"/>
      <c r="I19" s="47"/>
      <c r="J19" s="48"/>
      <c r="K19" s="373">
        <f>SUM(I16:I17)</f>
        <v>7887732.9825</v>
      </c>
      <c r="N19" s="454"/>
      <c r="O19" s="454"/>
    </row>
    <row r="20" spans="1:15" ht="16.5" customHeight="1">
      <c r="A20" s="9" t="s">
        <v>17</v>
      </c>
      <c r="B20" s="10"/>
      <c r="C20" s="11"/>
      <c r="D20" s="12"/>
      <c r="E20" s="12"/>
      <c r="F20" s="12"/>
      <c r="G20" s="12"/>
      <c r="H20" s="12"/>
      <c r="I20" s="13"/>
      <c r="J20" s="13"/>
      <c r="K20" s="372"/>
      <c r="N20" s="454"/>
      <c r="O20" s="454"/>
    </row>
    <row r="21" spans="1:15" ht="15.75" customHeight="1">
      <c r="A21" s="49"/>
      <c r="B21" s="16" t="s">
        <v>18</v>
      </c>
      <c r="C21" s="17"/>
      <c r="D21" s="17"/>
      <c r="E21" s="17"/>
      <c r="F21" s="17"/>
      <c r="G21" s="50">
        <f>I21/I16</f>
        <v>0</v>
      </c>
      <c r="H21" s="16" t="s">
        <v>19</v>
      </c>
      <c r="I21" s="19">
        <v>0</v>
      </c>
      <c r="J21" s="20"/>
      <c r="K21" s="21"/>
      <c r="N21" s="454"/>
      <c r="O21" s="454"/>
    </row>
    <row r="22" spans="1:15" ht="15.75" customHeight="1">
      <c r="A22" s="51"/>
      <c r="B22" s="23" t="s">
        <v>20</v>
      </c>
      <c r="C22" s="3"/>
      <c r="D22" s="3"/>
      <c r="E22" s="3"/>
      <c r="F22" s="3"/>
      <c r="G22" s="52">
        <f>I22/I16</f>
        <v>0</v>
      </c>
      <c r="H22" s="23" t="s">
        <v>19</v>
      </c>
      <c r="I22" s="25">
        <v>0</v>
      </c>
      <c r="J22" s="4"/>
      <c r="K22" s="5"/>
      <c r="N22" s="454"/>
      <c r="O22" s="454"/>
    </row>
    <row r="23" spans="1:15" ht="15.75" customHeight="1">
      <c r="A23" s="51"/>
      <c r="B23" s="23" t="s">
        <v>21</v>
      </c>
      <c r="C23" s="3"/>
      <c r="D23" s="3"/>
      <c r="E23" s="3"/>
      <c r="F23" s="3"/>
      <c r="G23" s="52">
        <f>I23/I16</f>
        <v>0.00033279524114519554</v>
      </c>
      <c r="H23" s="23" t="s">
        <v>19</v>
      </c>
      <c r="I23" s="25">
        <v>2500</v>
      </c>
      <c r="J23" s="4"/>
      <c r="K23" s="5"/>
      <c r="N23" s="454"/>
      <c r="O23" s="454"/>
    </row>
    <row r="24" spans="1:15" ht="15.75" customHeight="1">
      <c r="A24" s="51"/>
      <c r="B24" s="23" t="s">
        <v>22</v>
      </c>
      <c r="C24" s="3"/>
      <c r="D24" s="3"/>
      <c r="E24" s="3"/>
      <c r="F24" s="3"/>
      <c r="G24" s="52">
        <f>I24/I16</f>
        <v>0.0006655904822903911</v>
      </c>
      <c r="H24" s="23" t="s">
        <v>19</v>
      </c>
      <c r="I24" s="53">
        <v>5000</v>
      </c>
      <c r="J24" s="4"/>
      <c r="K24" s="5"/>
      <c r="N24" s="454"/>
      <c r="O24" s="454"/>
    </row>
    <row r="25" spans="1:15" ht="15.75" customHeight="1">
      <c r="A25" s="51"/>
      <c r="B25" s="23" t="s">
        <v>23</v>
      </c>
      <c r="C25" s="3"/>
      <c r="D25" s="3"/>
      <c r="E25" s="3"/>
      <c r="F25" s="3"/>
      <c r="G25" s="52">
        <f>I25/I16</f>
        <v>0.0009983857234355867</v>
      </c>
      <c r="H25" s="23" t="s">
        <v>19</v>
      </c>
      <c r="I25" s="30">
        <v>7500</v>
      </c>
      <c r="J25" s="4"/>
      <c r="K25" s="5"/>
      <c r="N25" s="454"/>
      <c r="O25" s="454"/>
    </row>
    <row r="26" spans="1:15" ht="15.75" customHeight="1">
      <c r="A26" s="51"/>
      <c r="B26" s="23" t="s">
        <v>24</v>
      </c>
      <c r="C26" s="3"/>
      <c r="D26" s="3"/>
      <c r="E26" s="3"/>
      <c r="F26" s="3"/>
      <c r="G26" s="52">
        <f>I26/I16</f>
        <v>0.0011315038198936647</v>
      </c>
      <c r="H26" s="65" t="s">
        <v>19</v>
      </c>
      <c r="I26" s="423">
        <v>8500</v>
      </c>
      <c r="J26" s="36"/>
      <c r="K26" s="5"/>
      <c r="L26" s="1" t="s">
        <v>260</v>
      </c>
      <c r="N26" s="454"/>
      <c r="O26" s="454"/>
    </row>
    <row r="27" spans="1:15" ht="15.75" customHeight="1">
      <c r="A27" s="51"/>
      <c r="B27" s="23" t="s">
        <v>25</v>
      </c>
      <c r="C27" s="3"/>
      <c r="D27" s="3"/>
      <c r="E27" s="3"/>
      <c r="F27" s="3"/>
      <c r="G27" s="52">
        <f>I27/I16</f>
        <v>0</v>
      </c>
      <c r="H27" s="23" t="s">
        <v>19</v>
      </c>
      <c r="I27" s="386">
        <v>0</v>
      </c>
      <c r="J27" s="4"/>
      <c r="K27" s="5"/>
      <c r="N27" s="454"/>
      <c r="O27" s="454"/>
    </row>
    <row r="28" spans="1:15" ht="15.75" customHeight="1">
      <c r="A28" s="51"/>
      <c r="B28" s="23" t="s">
        <v>26</v>
      </c>
      <c r="C28" s="3"/>
      <c r="D28" s="3"/>
      <c r="E28" s="3"/>
      <c r="F28" s="3"/>
      <c r="G28" s="52">
        <f>I28/I16</f>
        <v>0</v>
      </c>
      <c r="H28" s="23" t="s">
        <v>19</v>
      </c>
      <c r="I28" s="25">
        <v>0</v>
      </c>
      <c r="J28" s="4"/>
      <c r="K28" s="5"/>
      <c r="N28" s="454"/>
      <c r="O28" s="454"/>
    </row>
    <row r="29" spans="1:15" ht="15.75" customHeight="1">
      <c r="A29" s="51"/>
      <c r="B29" s="23" t="s">
        <v>27</v>
      </c>
      <c r="C29" s="3"/>
      <c r="D29" s="3"/>
      <c r="E29" s="3"/>
      <c r="F29" s="3"/>
      <c r="G29" s="52">
        <f>I29/I16</f>
        <v>0</v>
      </c>
      <c r="H29" s="23" t="s">
        <v>19</v>
      </c>
      <c r="I29" s="25">
        <v>0</v>
      </c>
      <c r="J29" s="4"/>
      <c r="K29" s="5"/>
      <c r="N29" s="454"/>
      <c r="O29" s="454"/>
    </row>
    <row r="30" spans="1:15" ht="16.5" customHeight="1">
      <c r="A30" s="51"/>
      <c r="B30" s="3"/>
      <c r="C30" s="3"/>
      <c r="D30" s="3"/>
      <c r="E30" s="3"/>
      <c r="F30" s="23" t="s">
        <v>28</v>
      </c>
      <c r="G30" s="52">
        <f>SUM(G21:G29)</f>
        <v>0.0031282752667648383</v>
      </c>
      <c r="H30" s="3"/>
      <c r="I30" s="4"/>
      <c r="J30" s="4"/>
      <c r="K30" s="43"/>
      <c r="N30" s="454"/>
      <c r="O30" s="454"/>
    </row>
    <row r="31" spans="1:15" ht="16.5" customHeight="1">
      <c r="A31" s="44"/>
      <c r="B31" s="45" t="s">
        <v>16</v>
      </c>
      <c r="C31" s="46"/>
      <c r="D31" s="46"/>
      <c r="E31" s="46"/>
      <c r="F31" s="46"/>
      <c r="G31" s="46"/>
      <c r="H31" s="46"/>
      <c r="I31" s="47"/>
      <c r="J31" s="48"/>
      <c r="K31" s="8">
        <f>SUM(I21:I29)</f>
        <v>23500</v>
      </c>
      <c r="N31" s="454"/>
      <c r="O31" s="454"/>
    </row>
    <row r="32" spans="1:15" ht="16.5" customHeight="1">
      <c r="A32" s="9" t="s">
        <v>29</v>
      </c>
      <c r="B32" s="10"/>
      <c r="C32" s="46"/>
      <c r="D32" s="55"/>
      <c r="E32" s="12"/>
      <c r="F32" s="12"/>
      <c r="G32" s="12"/>
      <c r="H32" s="12"/>
      <c r="I32" s="13"/>
      <c r="J32" s="13"/>
      <c r="K32" s="14"/>
      <c r="N32" s="454"/>
      <c r="O32" s="454"/>
    </row>
    <row r="33" spans="1:15" ht="15.75" customHeight="1">
      <c r="A33" s="49"/>
      <c r="B33" s="56" t="s">
        <v>30</v>
      </c>
      <c r="C33" s="57">
        <v>0.035</v>
      </c>
      <c r="D33" s="58"/>
      <c r="E33" s="58"/>
      <c r="F33" s="58"/>
      <c r="G33" s="58"/>
      <c r="H33" s="58"/>
      <c r="I33" s="363">
        <f>C33*K19</f>
        <v>276070.6543875</v>
      </c>
      <c r="J33" s="60"/>
      <c r="K33" s="21"/>
      <c r="L33" s="1" t="s">
        <v>257</v>
      </c>
      <c r="N33" s="455">
        <f>105259+30500+28850</f>
        <v>164609</v>
      </c>
      <c r="O33" s="456" t="s">
        <v>273</v>
      </c>
    </row>
    <row r="34" spans="1:15" ht="15.75" customHeight="1">
      <c r="A34" s="51"/>
      <c r="B34" s="23" t="s">
        <v>31</v>
      </c>
      <c r="C34" s="41"/>
      <c r="D34" s="41"/>
      <c r="E34" s="41"/>
      <c r="F34" s="41"/>
      <c r="G34" s="61" t="s">
        <v>32</v>
      </c>
      <c r="H34" s="41"/>
      <c r="I34" s="42"/>
      <c r="J34" s="4"/>
      <c r="K34" s="5"/>
      <c r="N34" s="454"/>
      <c r="O34" s="454"/>
    </row>
    <row r="35" spans="1:15" ht="15.75" customHeight="1">
      <c r="A35" s="51"/>
      <c r="B35" s="23" t="s">
        <v>33</v>
      </c>
      <c r="C35" s="3"/>
      <c r="D35" s="3"/>
      <c r="E35" s="3"/>
      <c r="F35" s="3"/>
      <c r="G35" s="23" t="s">
        <v>34</v>
      </c>
      <c r="H35" s="3"/>
      <c r="I35" s="4"/>
      <c r="J35" s="4"/>
      <c r="K35" s="5"/>
      <c r="N35" s="454"/>
      <c r="O35" s="454"/>
    </row>
    <row r="36" spans="1:15" ht="15.75" customHeight="1">
      <c r="A36" s="51"/>
      <c r="B36" s="23" t="s">
        <v>255</v>
      </c>
      <c r="C36" s="3"/>
      <c r="D36" s="3"/>
      <c r="E36" s="3"/>
      <c r="F36" s="3"/>
      <c r="G36" s="3"/>
      <c r="H36" s="3"/>
      <c r="I36" s="25">
        <v>10000</v>
      </c>
      <c r="J36" s="4"/>
      <c r="K36" s="5"/>
      <c r="L36" s="1" t="s">
        <v>256</v>
      </c>
      <c r="N36" s="455">
        <v>6000</v>
      </c>
      <c r="O36" s="456"/>
    </row>
    <row r="37" spans="1:15" ht="15.75" customHeight="1">
      <c r="A37" s="51"/>
      <c r="B37" s="23" t="s">
        <v>35</v>
      </c>
      <c r="C37" s="3"/>
      <c r="D37" s="3"/>
      <c r="E37" s="3"/>
      <c r="F37" s="3"/>
      <c r="G37" s="23"/>
      <c r="H37" s="3"/>
      <c r="I37" s="53">
        <v>25000</v>
      </c>
      <c r="J37" s="4"/>
      <c r="K37" s="5"/>
      <c r="N37" s="454"/>
      <c r="O37" s="454"/>
    </row>
    <row r="38" spans="1:15" ht="15.75" customHeight="1">
      <c r="A38" s="51"/>
      <c r="B38" s="23" t="s">
        <v>36</v>
      </c>
      <c r="C38" s="3"/>
      <c r="D38" s="3"/>
      <c r="E38" s="3"/>
      <c r="F38" s="3"/>
      <c r="G38" s="23" t="s">
        <v>32</v>
      </c>
      <c r="H38" s="3"/>
      <c r="I38" s="25">
        <v>0</v>
      </c>
      <c r="J38" s="4"/>
      <c r="K38" s="5"/>
      <c r="N38" s="454"/>
      <c r="O38" s="454"/>
    </row>
    <row r="39" spans="1:15" ht="16.5" customHeight="1" thickBot="1">
      <c r="A39" s="62" t="s">
        <v>37</v>
      </c>
      <c r="B39" s="3"/>
      <c r="C39" s="3"/>
      <c r="D39" s="3"/>
      <c r="E39" s="3"/>
      <c r="F39" s="3"/>
      <c r="G39" s="3"/>
      <c r="H39" s="3"/>
      <c r="I39" s="4"/>
      <c r="J39" s="4"/>
      <c r="K39" s="43"/>
      <c r="N39" s="454"/>
      <c r="O39" s="454"/>
    </row>
    <row r="40" spans="1:15" ht="16.5" customHeight="1" thickBot="1">
      <c r="A40" s="63"/>
      <c r="B40" s="45" t="s">
        <v>16</v>
      </c>
      <c r="C40" s="46"/>
      <c r="D40" s="46"/>
      <c r="E40" s="46"/>
      <c r="F40" s="46"/>
      <c r="G40" s="46"/>
      <c r="H40" s="46"/>
      <c r="I40" s="47"/>
      <c r="J40" s="48"/>
      <c r="K40" s="373">
        <f>SUM(I33:I38)</f>
        <v>311070.6543875</v>
      </c>
      <c r="N40" s="454"/>
      <c r="O40" s="454"/>
    </row>
    <row r="41" spans="1:15" ht="16.5" customHeight="1">
      <c r="A41" s="9" t="s">
        <v>38</v>
      </c>
      <c r="B41" s="10"/>
      <c r="C41" s="46"/>
      <c r="D41" s="55"/>
      <c r="E41" s="12"/>
      <c r="F41" s="12"/>
      <c r="G41" s="12"/>
      <c r="H41" s="12"/>
      <c r="I41" s="13"/>
      <c r="J41" s="13"/>
      <c r="K41" s="372"/>
      <c r="N41" s="454"/>
      <c r="O41" s="454"/>
    </row>
    <row r="42" spans="1:15" ht="15.75" customHeight="1">
      <c r="A42" s="49"/>
      <c r="B42" s="56" t="s">
        <v>39</v>
      </c>
      <c r="C42" s="64">
        <v>0</v>
      </c>
      <c r="D42" s="58"/>
      <c r="E42" s="58"/>
      <c r="F42" s="58"/>
      <c r="G42" s="58"/>
      <c r="H42" s="58"/>
      <c r="I42" s="59">
        <f>C42*'pro forma'!I20</f>
        <v>0</v>
      </c>
      <c r="J42" s="60"/>
      <c r="K42" s="21"/>
      <c r="N42" s="454"/>
      <c r="O42" s="454"/>
    </row>
    <row r="43" spans="1:15" ht="15.75" customHeight="1">
      <c r="A43" s="51"/>
      <c r="B43" s="65" t="s">
        <v>40</v>
      </c>
      <c r="C43" s="38">
        <v>0.07</v>
      </c>
      <c r="D43" s="39"/>
      <c r="E43" s="39"/>
      <c r="F43" s="39"/>
      <c r="G43" s="39"/>
      <c r="H43" s="39"/>
      <c r="I43" s="40">
        <f>C43*15000000</f>
        <v>1050000</v>
      </c>
      <c r="J43" s="36"/>
      <c r="K43" s="5"/>
      <c r="N43" s="454"/>
      <c r="O43" s="454"/>
    </row>
    <row r="44" spans="1:15" ht="15.75" customHeight="1">
      <c r="A44" s="51"/>
      <c r="B44" s="23" t="s">
        <v>41</v>
      </c>
      <c r="C44" s="41"/>
      <c r="D44" s="41"/>
      <c r="E44" s="41"/>
      <c r="F44" s="41"/>
      <c r="G44" s="61"/>
      <c r="H44" s="41"/>
      <c r="I44" s="42"/>
      <c r="J44" s="4"/>
      <c r="K44" s="5"/>
      <c r="N44" s="454"/>
      <c r="O44" s="454"/>
    </row>
    <row r="45" spans="1:15" ht="15.75" customHeight="1" thickBot="1">
      <c r="A45" s="51"/>
      <c r="B45" s="23" t="s">
        <v>223</v>
      </c>
      <c r="C45" s="3"/>
      <c r="D45" s="3"/>
      <c r="E45" s="3"/>
      <c r="F45" s="3"/>
      <c r="G45" s="23" t="s">
        <v>224</v>
      </c>
      <c r="H45" s="3"/>
      <c r="I45" s="25">
        <f>'pro forma'!I36</f>
        <v>0</v>
      </c>
      <c r="J45" s="4"/>
      <c r="K45" s="5"/>
      <c r="N45" s="454"/>
      <c r="O45" s="454"/>
    </row>
    <row r="46" spans="1:15" ht="16.5" customHeight="1" thickBot="1">
      <c r="A46" s="44"/>
      <c r="B46" s="45" t="s">
        <v>16</v>
      </c>
      <c r="C46" s="3"/>
      <c r="D46" s="3"/>
      <c r="E46" s="3"/>
      <c r="F46" s="3"/>
      <c r="G46" s="3"/>
      <c r="H46" s="3"/>
      <c r="I46" s="4"/>
      <c r="J46" s="66"/>
      <c r="K46" s="8">
        <f>SUM(I42:I45)</f>
        <v>1050000</v>
      </c>
      <c r="N46" s="454"/>
      <c r="O46" s="454"/>
    </row>
    <row r="47" spans="1:15" ht="15.75" customHeight="1">
      <c r="A47" s="9" t="s">
        <v>45</v>
      </c>
      <c r="B47" s="10"/>
      <c r="C47" s="11"/>
      <c r="D47" s="12"/>
      <c r="E47" s="12"/>
      <c r="F47" s="12"/>
      <c r="G47" s="12"/>
      <c r="H47" s="12"/>
      <c r="I47" s="13"/>
      <c r="J47" s="13"/>
      <c r="K47" s="70"/>
      <c r="N47" s="454"/>
      <c r="O47" s="454"/>
    </row>
    <row r="48" spans="1:15" ht="15.75" customHeight="1">
      <c r="A48" s="49"/>
      <c r="B48" s="16" t="s">
        <v>46</v>
      </c>
      <c r="C48" s="71">
        <v>0.015</v>
      </c>
      <c r="D48" s="16" t="s">
        <v>47</v>
      </c>
      <c r="E48" s="17"/>
      <c r="F48" s="17"/>
      <c r="G48" s="17"/>
      <c r="H48" s="17"/>
      <c r="I48" s="19"/>
      <c r="J48" s="20"/>
      <c r="K48" s="494"/>
      <c r="L48" s="1" t="s">
        <v>258</v>
      </c>
      <c r="N48" s="455">
        <v>54383.65</v>
      </c>
      <c r="O48" s="454"/>
    </row>
    <row r="49" spans="1:15" ht="15.75" customHeight="1">
      <c r="A49" s="51"/>
      <c r="B49" s="23" t="s">
        <v>48</v>
      </c>
      <c r="C49" s="52">
        <v>0.0016</v>
      </c>
      <c r="D49" s="23" t="s">
        <v>47</v>
      </c>
      <c r="E49" s="3"/>
      <c r="F49" s="3"/>
      <c r="G49" s="3"/>
      <c r="H49" s="3"/>
      <c r="I49" s="25"/>
      <c r="J49" s="4"/>
      <c r="K49" s="495"/>
      <c r="N49" s="454"/>
      <c r="O49" s="454"/>
    </row>
    <row r="50" spans="1:15" ht="15.75" customHeight="1">
      <c r="A50" s="51"/>
      <c r="B50" s="23" t="s">
        <v>49</v>
      </c>
      <c r="C50" s="3"/>
      <c r="D50" s="23" t="s">
        <v>50</v>
      </c>
      <c r="E50" s="3"/>
      <c r="F50" s="3"/>
      <c r="G50" s="3"/>
      <c r="H50" s="3"/>
      <c r="I50" s="25"/>
      <c r="J50" s="4"/>
      <c r="K50" s="495"/>
      <c r="N50" s="454"/>
      <c r="O50" s="454"/>
    </row>
    <row r="51" spans="1:15" ht="15.75" customHeight="1">
      <c r="A51" s="51"/>
      <c r="B51" s="23" t="s">
        <v>51</v>
      </c>
      <c r="C51" s="24">
        <v>4800</v>
      </c>
      <c r="D51" s="23" t="s">
        <v>52</v>
      </c>
      <c r="E51" s="3"/>
      <c r="F51" s="493">
        <v>3</v>
      </c>
      <c r="G51" s="23" t="s">
        <v>53</v>
      </c>
      <c r="H51" s="3"/>
      <c r="I51" s="25"/>
      <c r="J51" s="4"/>
      <c r="K51" s="495"/>
      <c r="N51" s="454"/>
      <c r="O51" s="454"/>
    </row>
    <row r="52" spans="1:15" ht="15.75" customHeight="1">
      <c r="A52" s="51"/>
      <c r="B52" s="3"/>
      <c r="C52" s="24">
        <v>4800</v>
      </c>
      <c r="D52" s="23" t="s">
        <v>54</v>
      </c>
      <c r="E52" s="3"/>
      <c r="F52" s="493">
        <v>3</v>
      </c>
      <c r="G52" s="23" t="s">
        <v>53</v>
      </c>
      <c r="H52" s="3"/>
      <c r="I52" s="25"/>
      <c r="J52" s="4"/>
      <c r="K52" s="495"/>
      <c r="N52" s="454"/>
      <c r="O52" s="454"/>
    </row>
    <row r="53" spans="1:15" ht="15.75" customHeight="1">
      <c r="A53" s="2"/>
      <c r="B53" s="23" t="s">
        <v>55</v>
      </c>
      <c r="C53" s="24">
        <v>500</v>
      </c>
      <c r="D53" s="23" t="s">
        <v>52</v>
      </c>
      <c r="E53" s="3"/>
      <c r="F53" s="3">
        <f>'pro forma'!B9+'pro forma'!B10+'pro forma'!B11</f>
        <v>49</v>
      </c>
      <c r="G53" s="23" t="s">
        <v>53</v>
      </c>
      <c r="H53" s="3"/>
      <c r="I53" s="25"/>
      <c r="J53" s="4"/>
      <c r="K53" s="495"/>
      <c r="N53" s="454"/>
      <c r="O53" s="454"/>
    </row>
    <row r="54" spans="1:15" ht="15.75" customHeight="1">
      <c r="A54" s="2"/>
      <c r="B54" s="3"/>
      <c r="C54" s="24">
        <v>500</v>
      </c>
      <c r="D54" s="23" t="s">
        <v>56</v>
      </c>
      <c r="E54" s="3"/>
      <c r="F54" s="23">
        <f>'pro forma'!B8</f>
        <v>8</v>
      </c>
      <c r="G54" s="23" t="s">
        <v>53</v>
      </c>
      <c r="H54" s="3"/>
      <c r="I54" s="25"/>
      <c r="J54" s="4"/>
      <c r="K54" s="495"/>
      <c r="N54" s="454"/>
      <c r="O54" s="454"/>
    </row>
    <row r="55" spans="1:15" ht="15.75" customHeight="1">
      <c r="A55" s="51"/>
      <c r="B55" s="23" t="s">
        <v>57</v>
      </c>
      <c r="C55" s="24">
        <v>500</v>
      </c>
      <c r="D55" s="23" t="s">
        <v>52</v>
      </c>
      <c r="E55" s="3"/>
      <c r="F55" s="3">
        <f aca="true" t="shared" si="0" ref="F55:F63">F53</f>
        <v>49</v>
      </c>
      <c r="G55" s="23" t="s">
        <v>53</v>
      </c>
      <c r="H55" s="3"/>
      <c r="I55" s="25"/>
      <c r="J55" s="4"/>
      <c r="K55" s="495"/>
      <c r="N55" s="454"/>
      <c r="O55" s="454"/>
    </row>
    <row r="56" spans="1:15" ht="15.75" customHeight="1">
      <c r="A56" s="51"/>
      <c r="B56" s="3"/>
      <c r="C56" s="24">
        <v>500</v>
      </c>
      <c r="D56" s="23" t="s">
        <v>56</v>
      </c>
      <c r="E56" s="3"/>
      <c r="F56" s="23">
        <f t="shared" si="0"/>
        <v>8</v>
      </c>
      <c r="G56" s="23" t="s">
        <v>53</v>
      </c>
      <c r="H56" s="3"/>
      <c r="I56" s="25"/>
      <c r="J56" s="4"/>
      <c r="K56" s="495"/>
      <c r="N56" s="454"/>
      <c r="O56" s="454"/>
    </row>
    <row r="57" spans="1:15" ht="15.75" customHeight="1">
      <c r="A57" s="51"/>
      <c r="B57" s="23" t="s">
        <v>58</v>
      </c>
      <c r="C57" s="24">
        <v>2500</v>
      </c>
      <c r="D57" s="23" t="s">
        <v>52</v>
      </c>
      <c r="E57" s="3"/>
      <c r="F57" s="3">
        <f t="shared" si="0"/>
        <v>49</v>
      </c>
      <c r="G57" s="23" t="s">
        <v>53</v>
      </c>
      <c r="H57" s="3"/>
      <c r="I57" s="25"/>
      <c r="J57" s="4"/>
      <c r="K57" s="495"/>
      <c r="N57" s="454"/>
      <c r="O57" s="454"/>
    </row>
    <row r="58" spans="1:15" ht="15.75" customHeight="1">
      <c r="A58" s="51"/>
      <c r="B58" s="3"/>
      <c r="C58" s="24">
        <v>2500</v>
      </c>
      <c r="D58" s="23" t="s">
        <v>56</v>
      </c>
      <c r="E58" s="3"/>
      <c r="F58" s="23">
        <f t="shared" si="0"/>
        <v>8</v>
      </c>
      <c r="G58" s="23" t="s">
        <v>53</v>
      </c>
      <c r="H58" s="3"/>
      <c r="I58" s="25"/>
      <c r="J58" s="4"/>
      <c r="K58" s="495"/>
      <c r="N58" s="454"/>
      <c r="O58" s="454"/>
    </row>
    <row r="59" spans="1:15" ht="15.75" customHeight="1">
      <c r="A59" s="72" t="s">
        <v>59</v>
      </c>
      <c r="B59" s="23" t="s">
        <v>60</v>
      </c>
      <c r="C59" s="24">
        <v>1216</v>
      </c>
      <c r="D59" s="23" t="s">
        <v>52</v>
      </c>
      <c r="E59" s="3"/>
      <c r="F59" s="3">
        <f t="shared" si="0"/>
        <v>49</v>
      </c>
      <c r="G59" s="23" t="s">
        <v>53</v>
      </c>
      <c r="H59" s="3"/>
      <c r="I59" s="25"/>
      <c r="J59" s="4"/>
      <c r="K59" s="495"/>
      <c r="N59" s="454"/>
      <c r="O59" s="454"/>
    </row>
    <row r="60" spans="1:15" ht="15.75" customHeight="1">
      <c r="A60" s="73"/>
      <c r="B60" s="3"/>
      <c r="C60" s="24">
        <v>2.31</v>
      </c>
      <c r="D60" s="23" t="s">
        <v>61</v>
      </c>
      <c r="E60" s="3"/>
      <c r="F60" s="74">
        <f t="shared" si="0"/>
        <v>8</v>
      </c>
      <c r="G60" s="23" t="s">
        <v>62</v>
      </c>
      <c r="H60" s="3"/>
      <c r="I60" s="25"/>
      <c r="J60" s="4"/>
      <c r="K60" s="495"/>
      <c r="N60" s="454"/>
      <c r="O60" s="454"/>
    </row>
    <row r="61" spans="1:15" ht="15.75" customHeight="1">
      <c r="A61" s="75" t="s">
        <v>63</v>
      </c>
      <c r="B61" s="23" t="s">
        <v>64</v>
      </c>
      <c r="C61" s="24">
        <v>5500</v>
      </c>
      <c r="D61" s="23" t="s">
        <v>52</v>
      </c>
      <c r="E61" s="3"/>
      <c r="F61" s="3">
        <f t="shared" si="0"/>
        <v>49</v>
      </c>
      <c r="G61" s="23" t="s">
        <v>53</v>
      </c>
      <c r="H61" s="3"/>
      <c r="I61" s="25"/>
      <c r="J61" s="4"/>
      <c r="K61" s="495"/>
      <c r="N61" s="454"/>
      <c r="O61" s="454"/>
    </row>
    <row r="62" spans="1:15" ht="15.75" customHeight="1">
      <c r="A62" s="4"/>
      <c r="B62" s="3"/>
      <c r="C62" s="24">
        <v>0</v>
      </c>
      <c r="D62" s="23" t="s">
        <v>56</v>
      </c>
      <c r="E62" s="3"/>
      <c r="F62" s="74">
        <f t="shared" si="0"/>
        <v>8</v>
      </c>
      <c r="G62" s="23" t="s">
        <v>53</v>
      </c>
      <c r="H62" s="23" t="s">
        <v>65</v>
      </c>
      <c r="I62" s="25">
        <v>0</v>
      </c>
      <c r="J62" s="4"/>
      <c r="K62" s="495"/>
      <c r="N62" s="454"/>
      <c r="O62" s="454"/>
    </row>
    <row r="63" spans="1:15" ht="15.75" customHeight="1" thickBot="1">
      <c r="A63" s="51"/>
      <c r="B63" s="23" t="s">
        <v>66</v>
      </c>
      <c r="C63" s="24">
        <v>0</v>
      </c>
      <c r="D63" s="23" t="s">
        <v>52</v>
      </c>
      <c r="E63" s="3"/>
      <c r="F63" s="3">
        <f t="shared" si="0"/>
        <v>49</v>
      </c>
      <c r="G63" s="23" t="s">
        <v>53</v>
      </c>
      <c r="H63" s="3"/>
      <c r="I63" s="4"/>
      <c r="J63" s="4"/>
      <c r="K63" s="495">
        <f>C63*F63</f>
        <v>0</v>
      </c>
      <c r="N63" s="454"/>
      <c r="O63" s="454"/>
    </row>
    <row r="64" spans="1:15" ht="15.75" customHeight="1" thickBot="1">
      <c r="A64" s="51"/>
      <c r="B64" s="23"/>
      <c r="C64" s="24"/>
      <c r="D64" s="23"/>
      <c r="E64" s="3"/>
      <c r="F64" s="3"/>
      <c r="G64" s="23"/>
      <c r="H64" s="3"/>
      <c r="I64" s="4"/>
      <c r="J64" s="4"/>
      <c r="L64" s="491">
        <v>963902</v>
      </c>
      <c r="M64" s="492" t="s">
        <v>360</v>
      </c>
      <c r="N64" s="454"/>
      <c r="O64" s="454"/>
    </row>
    <row r="65" spans="1:15" ht="16.5" customHeight="1" thickBot="1">
      <c r="A65" s="51"/>
      <c r="B65" s="3"/>
      <c r="C65" s="3"/>
      <c r="D65" s="3"/>
      <c r="E65" s="3"/>
      <c r="F65" s="3"/>
      <c r="G65" s="3"/>
      <c r="H65" s="3"/>
      <c r="I65" s="4"/>
      <c r="J65" s="4"/>
      <c r="L65" s="43">
        <v>323867</v>
      </c>
      <c r="M65" s="1" t="s">
        <v>361</v>
      </c>
      <c r="N65" s="454"/>
      <c r="O65" s="454"/>
    </row>
    <row r="66" spans="1:15" ht="16.5" customHeight="1" thickBot="1">
      <c r="A66" s="44"/>
      <c r="B66" s="45" t="s">
        <v>16</v>
      </c>
      <c r="C66" s="46"/>
      <c r="D66" s="46"/>
      <c r="E66" s="46"/>
      <c r="F66" s="46"/>
      <c r="G66" s="46"/>
      <c r="H66" s="46"/>
      <c r="I66" s="47"/>
      <c r="J66" s="48"/>
      <c r="K66" s="491">
        <f>L64-L65</f>
        <v>640035</v>
      </c>
      <c r="L66" s="492" t="s">
        <v>359</v>
      </c>
      <c r="N66" s="454"/>
      <c r="O66" s="454"/>
    </row>
    <row r="67" spans="1:15" ht="16.5" customHeight="1">
      <c r="A67" s="9" t="s">
        <v>67</v>
      </c>
      <c r="B67" s="10"/>
      <c r="C67" s="11"/>
      <c r="D67" s="12"/>
      <c r="E67" s="12"/>
      <c r="F67" s="12"/>
      <c r="G67" s="12"/>
      <c r="H67" s="12"/>
      <c r="I67" s="13"/>
      <c r="J67" s="13"/>
      <c r="K67" s="14"/>
      <c r="N67" s="454"/>
      <c r="O67" s="454"/>
    </row>
    <row r="68" spans="1:15" ht="15.75" customHeight="1">
      <c r="A68" s="49"/>
      <c r="B68" s="16" t="s">
        <v>68</v>
      </c>
      <c r="C68" s="17"/>
      <c r="D68" s="17"/>
      <c r="E68" s="17"/>
      <c r="F68" s="17"/>
      <c r="G68" s="17"/>
      <c r="H68" s="17"/>
      <c r="I68" s="19">
        <v>7500</v>
      </c>
      <c r="J68" s="20"/>
      <c r="K68" s="21"/>
      <c r="N68" s="455">
        <v>3724.11</v>
      </c>
      <c r="O68" s="454"/>
    </row>
    <row r="69" spans="1:15" ht="15.75" customHeight="1">
      <c r="A69" s="51"/>
      <c r="B69" s="23" t="s">
        <v>69</v>
      </c>
      <c r="C69" s="3"/>
      <c r="D69" s="3"/>
      <c r="E69" s="3"/>
      <c r="F69" s="3"/>
      <c r="G69" s="23" t="s">
        <v>43</v>
      </c>
      <c r="H69" s="3"/>
      <c r="I69" s="4"/>
      <c r="J69" s="4"/>
      <c r="K69" s="5"/>
      <c r="N69" s="454"/>
      <c r="O69" s="454"/>
    </row>
    <row r="70" spans="1:15" ht="15.75" customHeight="1">
      <c r="A70" s="51"/>
      <c r="B70" s="23" t="s">
        <v>70</v>
      </c>
      <c r="C70" s="3"/>
      <c r="D70" s="3"/>
      <c r="E70" s="3"/>
      <c r="F70" s="3"/>
      <c r="G70" s="23" t="s">
        <v>43</v>
      </c>
      <c r="H70" s="3"/>
      <c r="I70" s="4"/>
      <c r="J70" s="4"/>
      <c r="K70" s="5"/>
      <c r="N70" s="454"/>
      <c r="O70" s="454"/>
    </row>
    <row r="71" spans="1:15" ht="15.75" customHeight="1">
      <c r="A71" s="51"/>
      <c r="B71" s="23" t="s">
        <v>71</v>
      </c>
      <c r="C71" s="3"/>
      <c r="D71" s="3"/>
      <c r="E71" s="3"/>
      <c r="F71" s="3"/>
      <c r="G71" s="3"/>
      <c r="H71" s="3"/>
      <c r="I71" s="4"/>
      <c r="J71" s="4"/>
      <c r="K71" s="5"/>
      <c r="N71" s="454"/>
      <c r="O71" s="454"/>
    </row>
    <row r="72" spans="1:15" ht="16.5" customHeight="1">
      <c r="A72" s="51"/>
      <c r="B72" s="23" t="s">
        <v>72</v>
      </c>
      <c r="C72" s="3"/>
      <c r="D72" s="3"/>
      <c r="E72" s="3"/>
      <c r="F72" s="3"/>
      <c r="G72" s="3"/>
      <c r="H72" s="3"/>
      <c r="I72" s="25">
        <v>15000</v>
      </c>
      <c r="J72" s="4"/>
      <c r="K72" s="43"/>
      <c r="N72" s="454"/>
      <c r="O72" s="454"/>
    </row>
    <row r="73" spans="1:15" ht="16.5" customHeight="1" thickBot="1">
      <c r="A73" s="44"/>
      <c r="B73" s="45" t="s">
        <v>16</v>
      </c>
      <c r="C73" s="46"/>
      <c r="D73" s="46"/>
      <c r="E73" s="46"/>
      <c r="F73" s="46"/>
      <c r="G73" s="46"/>
      <c r="H73" s="46"/>
      <c r="I73" s="47"/>
      <c r="J73" s="48"/>
      <c r="K73" s="8">
        <f>SUM(I68:I72)</f>
        <v>22500</v>
      </c>
      <c r="N73" s="454"/>
      <c r="O73" s="454"/>
    </row>
    <row r="74" spans="1:15" ht="16.5" customHeight="1">
      <c r="A74" s="380" t="s">
        <v>225</v>
      </c>
      <c r="B74" s="369"/>
      <c r="C74" s="367"/>
      <c r="D74" s="172"/>
      <c r="E74" s="172"/>
      <c r="F74" s="172"/>
      <c r="G74" s="172"/>
      <c r="H74" s="172"/>
      <c r="I74" s="425"/>
      <c r="J74" s="368"/>
      <c r="K74" s="382"/>
      <c r="N74" s="454"/>
      <c r="O74" s="454"/>
    </row>
    <row r="75" spans="1:15" ht="16.5" customHeight="1">
      <c r="A75" s="379"/>
      <c r="B75" s="370" t="s">
        <v>74</v>
      </c>
      <c r="C75" s="3"/>
      <c r="D75" s="3"/>
      <c r="E75" s="3"/>
      <c r="F75" s="3"/>
      <c r="G75" s="3"/>
      <c r="H75" s="419"/>
      <c r="I75" s="426">
        <v>0</v>
      </c>
      <c r="J75" s="424"/>
      <c r="K75" s="381"/>
      <c r="N75" s="454"/>
      <c r="O75" s="454"/>
    </row>
    <row r="76" spans="1:15" ht="16.5" customHeight="1">
      <c r="A76" s="51"/>
      <c r="B76" s="3" t="s">
        <v>226</v>
      </c>
      <c r="C76" s="3"/>
      <c r="D76" s="28"/>
      <c r="E76" s="3"/>
      <c r="F76" s="3"/>
      <c r="G76" s="3"/>
      <c r="H76" s="419"/>
      <c r="I76" s="427">
        <v>5000</v>
      </c>
      <c r="J76" s="424"/>
      <c r="K76" s="5"/>
      <c r="L76" s="1" t="s">
        <v>259</v>
      </c>
      <c r="N76" s="455">
        <f>2939+527</f>
        <v>3466</v>
      </c>
      <c r="O76" s="454"/>
    </row>
    <row r="77" spans="1:15" ht="16.5" customHeight="1" thickBot="1">
      <c r="A77" s="51"/>
      <c r="B77" s="3" t="s">
        <v>227</v>
      </c>
      <c r="C77" s="419"/>
      <c r="D77" s="429" t="s">
        <v>43</v>
      </c>
      <c r="E77" s="424"/>
      <c r="F77" s="270"/>
      <c r="G77" s="365"/>
      <c r="H77" s="419"/>
      <c r="I77" s="428"/>
      <c r="J77" s="424"/>
      <c r="K77" s="430"/>
      <c r="L77" s="431" t="s">
        <v>241</v>
      </c>
      <c r="M77" s="432"/>
      <c r="N77" s="457"/>
      <c r="O77" s="454"/>
    </row>
    <row r="78" spans="1:15" ht="16.5" customHeight="1" thickBot="1">
      <c r="A78" s="51"/>
      <c r="B78" s="366"/>
      <c r="C78" s="3"/>
      <c r="D78" s="41"/>
      <c r="E78" s="3"/>
      <c r="F78" s="270"/>
      <c r="G78" s="3"/>
      <c r="H78" s="3"/>
      <c r="I78" s="41"/>
      <c r="J78" s="3"/>
      <c r="K78" s="8">
        <f>I75+I76+I77</f>
        <v>5000</v>
      </c>
      <c r="N78" s="454"/>
      <c r="O78" s="454"/>
    </row>
    <row r="79" spans="1:15" ht="16.5" customHeight="1">
      <c r="A79" s="9" t="s">
        <v>73</v>
      </c>
      <c r="B79" s="76"/>
      <c r="C79" s="11"/>
      <c r="D79" s="12"/>
      <c r="E79" s="12"/>
      <c r="F79" s="12"/>
      <c r="G79" s="12"/>
      <c r="H79" s="12"/>
      <c r="I79" s="13"/>
      <c r="J79" s="13"/>
      <c r="K79" s="372"/>
      <c r="N79" s="454"/>
      <c r="O79" s="454"/>
    </row>
    <row r="80" spans="1:15" ht="15.75" customHeight="1">
      <c r="A80" s="77"/>
      <c r="B80" s="16" t="s">
        <v>74</v>
      </c>
      <c r="C80" s="50">
        <v>0.015</v>
      </c>
      <c r="D80" s="16" t="s">
        <v>75</v>
      </c>
      <c r="E80" s="17"/>
      <c r="F80" s="17"/>
      <c r="G80" s="17"/>
      <c r="H80" s="17"/>
      <c r="I80" s="19">
        <f>C80*'pro forma'!H25</f>
        <v>164640.15750497297</v>
      </c>
      <c r="J80" s="20"/>
      <c r="K80" s="21"/>
      <c r="N80" s="454"/>
      <c r="O80" s="454"/>
    </row>
    <row r="81" spans="1:15" ht="15.75" customHeight="1">
      <c r="A81" s="384"/>
      <c r="B81" s="61" t="s">
        <v>229</v>
      </c>
      <c r="C81" s="385"/>
      <c r="D81" s="61"/>
      <c r="E81" s="41"/>
      <c r="F81" s="41"/>
      <c r="G81" s="41"/>
      <c r="H81" s="41"/>
      <c r="I81" s="386">
        <v>47300</v>
      </c>
      <c r="J81" s="42"/>
      <c r="K81" s="381"/>
      <c r="N81" s="454"/>
      <c r="O81" s="454"/>
    </row>
    <row r="82" spans="1:15" ht="15.75" customHeight="1">
      <c r="A82" s="2"/>
      <c r="B82" s="23" t="s">
        <v>76</v>
      </c>
      <c r="C82" s="3"/>
      <c r="D82" s="23"/>
      <c r="E82" s="3"/>
      <c r="F82" s="3"/>
      <c r="G82" s="52">
        <f>'pro forma'!H17</f>
        <v>0.03</v>
      </c>
      <c r="H82" s="3"/>
      <c r="I82" s="30">
        <f>'pro forma'!I12</f>
        <v>515000</v>
      </c>
      <c r="J82" s="4"/>
      <c r="K82" s="5"/>
      <c r="N82" s="454"/>
      <c r="O82" s="454"/>
    </row>
    <row r="83" spans="1:15" ht="15.75" customHeight="1">
      <c r="A83" s="2"/>
      <c r="B83" s="3" t="s">
        <v>239</v>
      </c>
      <c r="C83" s="3"/>
      <c r="D83" s="3"/>
      <c r="E83" s="3"/>
      <c r="F83" s="3"/>
      <c r="G83" s="52"/>
      <c r="H83" s="419"/>
      <c r="I83" s="433">
        <v>0</v>
      </c>
      <c r="J83" s="36"/>
      <c r="K83" s="430"/>
      <c r="L83" s="431" t="s">
        <v>261</v>
      </c>
      <c r="M83" s="432"/>
      <c r="N83" s="457"/>
      <c r="O83" s="454"/>
    </row>
    <row r="84" spans="1:15" ht="15.75" customHeight="1">
      <c r="A84" s="2"/>
      <c r="C84" s="3"/>
      <c r="D84" s="3"/>
      <c r="E84" s="3"/>
      <c r="F84" s="3"/>
      <c r="G84" s="52"/>
      <c r="H84" s="3"/>
      <c r="I84" s="386"/>
      <c r="J84" s="4"/>
      <c r="K84" s="5"/>
      <c r="N84" s="454"/>
      <c r="O84" s="454"/>
    </row>
    <row r="85" spans="1:15" ht="15.75" customHeight="1">
      <c r="A85" s="2"/>
      <c r="B85" s="23" t="s">
        <v>42</v>
      </c>
      <c r="C85" s="3"/>
      <c r="D85" s="3"/>
      <c r="E85" s="3"/>
      <c r="F85" s="3"/>
      <c r="G85" s="23"/>
      <c r="H85" s="3"/>
      <c r="I85" s="53">
        <v>30000</v>
      </c>
      <c r="J85" s="4"/>
      <c r="K85" s="5"/>
      <c r="N85" s="454"/>
      <c r="O85" s="454"/>
    </row>
    <row r="86" spans="1:15" ht="15.75" customHeight="1">
      <c r="A86" s="78" t="s">
        <v>77</v>
      </c>
      <c r="B86" s="23" t="s">
        <v>78</v>
      </c>
      <c r="C86" s="3"/>
      <c r="D86" s="3"/>
      <c r="E86" s="3"/>
      <c r="F86" s="3"/>
      <c r="G86" s="3"/>
      <c r="H86" s="3"/>
      <c r="I86" s="53">
        <v>60000</v>
      </c>
      <c r="J86" s="4"/>
      <c r="K86" s="5"/>
      <c r="N86" s="455">
        <v>4039.09</v>
      </c>
      <c r="O86" s="454"/>
    </row>
    <row r="87" spans="1:15" ht="16.5" customHeight="1">
      <c r="A87" s="2"/>
      <c r="B87" s="73"/>
      <c r="C87" s="3"/>
      <c r="D87" s="3"/>
      <c r="E87" s="3"/>
      <c r="F87" s="3"/>
      <c r="G87" s="3"/>
      <c r="H87" s="3"/>
      <c r="I87" s="4"/>
      <c r="J87" s="4"/>
      <c r="K87" s="43"/>
      <c r="N87" s="454"/>
      <c r="O87" s="454"/>
    </row>
    <row r="88" spans="1:15" ht="16.5" customHeight="1" thickBot="1">
      <c r="A88" s="44"/>
      <c r="B88" s="45" t="s">
        <v>16</v>
      </c>
      <c r="C88" s="46"/>
      <c r="D88" s="46"/>
      <c r="E88" s="46"/>
      <c r="F88" s="46"/>
      <c r="G88" s="46"/>
      <c r="H88" s="46"/>
      <c r="I88" s="47"/>
      <c r="J88" s="48"/>
      <c r="K88" s="8">
        <f>SUM(I80:I86)</f>
        <v>816940.157504973</v>
      </c>
      <c r="N88" s="454"/>
      <c r="O88" s="454"/>
    </row>
    <row r="89" spans="1:15" ht="16.5" customHeight="1">
      <c r="A89" s="9" t="s">
        <v>79</v>
      </c>
      <c r="B89" s="10"/>
      <c r="C89" s="17" t="s">
        <v>246</v>
      </c>
      <c r="D89" s="12"/>
      <c r="E89" s="12"/>
      <c r="F89" s="12"/>
      <c r="G89" s="12"/>
      <c r="H89" s="12"/>
      <c r="I89" s="13"/>
      <c r="J89" s="13"/>
      <c r="K89" s="14"/>
      <c r="N89" s="454"/>
      <c r="O89" s="454"/>
    </row>
    <row r="90" spans="1:15" ht="15.75" customHeight="1">
      <c r="A90" s="49"/>
      <c r="B90" s="16" t="s">
        <v>247</v>
      </c>
      <c r="C90" s="50">
        <v>0.0025</v>
      </c>
      <c r="D90" s="17"/>
      <c r="E90" s="17"/>
      <c r="G90" s="17"/>
      <c r="H90" s="17"/>
      <c r="I90" s="420">
        <f>SUM(11223022*C90)</f>
        <v>28057.555</v>
      </c>
      <c r="J90" s="20"/>
      <c r="K90" s="21"/>
      <c r="N90" s="454"/>
      <c r="O90" s="454"/>
    </row>
    <row r="91" spans="1:15" ht="15.75" customHeight="1">
      <c r="A91" s="51"/>
      <c r="B91" s="23" t="s">
        <v>248</v>
      </c>
      <c r="D91" s="3"/>
      <c r="E91" s="3"/>
      <c r="F91" s="3"/>
      <c r="G91" s="3"/>
      <c r="H91" s="419"/>
      <c r="I91" s="421">
        <v>1500</v>
      </c>
      <c r="J91" s="36"/>
      <c r="K91" s="5"/>
      <c r="N91" s="454"/>
      <c r="O91" s="454"/>
    </row>
    <row r="92" spans="1:15" ht="15.75" customHeight="1">
      <c r="A92" s="51"/>
      <c r="B92" s="23" t="s">
        <v>249</v>
      </c>
      <c r="C92" s="418">
        <v>0.003</v>
      </c>
      <c r="D92" s="3"/>
      <c r="E92" s="3"/>
      <c r="F92" s="3"/>
      <c r="G92" s="3"/>
      <c r="H92" s="3"/>
      <c r="I92" s="403">
        <f>SUM(11223022*C92)</f>
        <v>33669.066</v>
      </c>
      <c r="J92" s="4"/>
      <c r="K92" s="5"/>
      <c r="N92" s="454"/>
      <c r="O92" s="454"/>
    </row>
    <row r="93" spans="1:15" ht="15.75" customHeight="1">
      <c r="A93" s="51"/>
      <c r="B93" s="23" t="s">
        <v>250</v>
      </c>
      <c r="C93" s="409">
        <v>0.01</v>
      </c>
      <c r="D93" s="3"/>
      <c r="E93" s="3"/>
      <c r="F93" s="3"/>
      <c r="G93" s="3"/>
      <c r="H93" s="3"/>
      <c r="I93" s="403">
        <f>SUM(11223022*C93)</f>
        <v>112230.22</v>
      </c>
      <c r="J93" s="4"/>
      <c r="K93" s="417"/>
      <c r="N93" s="454"/>
      <c r="O93" s="454"/>
    </row>
    <row r="94" spans="1:15" ht="15.75" customHeight="1">
      <c r="A94" s="51"/>
      <c r="B94" s="23" t="s">
        <v>251</v>
      </c>
      <c r="C94" s="365"/>
      <c r="D94" s="3"/>
      <c r="E94" s="3"/>
      <c r="F94" s="3"/>
      <c r="G94" s="3"/>
      <c r="H94" s="3"/>
      <c r="I94" s="422">
        <v>22500</v>
      </c>
      <c r="J94" s="4"/>
      <c r="K94" s="417"/>
      <c r="N94" s="454"/>
      <c r="O94" s="454"/>
    </row>
    <row r="95" spans="1:15" ht="15.75" customHeight="1">
      <c r="A95" s="51"/>
      <c r="B95" s="23" t="s">
        <v>252</v>
      </c>
      <c r="C95" s="365"/>
      <c r="D95" s="3"/>
      <c r="E95" s="3"/>
      <c r="F95" s="3"/>
      <c r="G95" s="3"/>
      <c r="H95" s="3"/>
      <c r="I95" s="422">
        <v>25000</v>
      </c>
      <c r="J95" s="4"/>
      <c r="K95" s="417"/>
      <c r="N95" s="454"/>
      <c r="O95" s="454"/>
    </row>
    <row r="96" spans="1:15" ht="15.75" customHeight="1">
      <c r="A96" s="51"/>
      <c r="B96" s="23" t="s">
        <v>253</v>
      </c>
      <c r="C96" s="365"/>
      <c r="D96" s="3"/>
      <c r="E96" s="3"/>
      <c r="F96" s="3"/>
      <c r="G96" s="3"/>
      <c r="H96" s="3"/>
      <c r="I96" s="422">
        <v>22500</v>
      </c>
      <c r="J96" s="4"/>
      <c r="K96" s="417"/>
      <c r="N96" s="454"/>
      <c r="O96" s="454"/>
    </row>
    <row r="97" spans="1:15" ht="16.5" customHeight="1" thickBot="1">
      <c r="A97" s="51"/>
      <c r="B97" s="3" t="s">
        <v>254</v>
      </c>
      <c r="C97" s="365"/>
      <c r="D97" s="3"/>
      <c r="E97" s="3"/>
      <c r="F97" s="3"/>
      <c r="G97" s="3"/>
      <c r="H97" s="3"/>
      <c r="I97" s="422">
        <v>20000</v>
      </c>
      <c r="J97" s="4"/>
      <c r="K97" s="43"/>
      <c r="N97" s="454"/>
      <c r="O97" s="454"/>
    </row>
    <row r="98" spans="1:15" ht="16.5" customHeight="1">
      <c r="A98" s="79"/>
      <c r="B98" s="80" t="s">
        <v>16</v>
      </c>
      <c r="C98" s="67"/>
      <c r="D98" s="67"/>
      <c r="E98" s="67"/>
      <c r="F98" s="67"/>
      <c r="G98" s="67"/>
      <c r="H98" s="67"/>
      <c r="I98" s="68"/>
      <c r="J98" s="43"/>
      <c r="K98" s="8">
        <f>SUM(I90:I97)</f>
        <v>265456.841</v>
      </c>
      <c r="N98" s="454"/>
      <c r="O98" s="454"/>
    </row>
    <row r="99" spans="1:15" ht="16.5" customHeight="1">
      <c r="A99" s="81" t="s">
        <v>80</v>
      </c>
      <c r="B99" s="82"/>
      <c r="C99" s="83"/>
      <c r="D99" s="7"/>
      <c r="E99" s="7"/>
      <c r="F99" s="7"/>
      <c r="G99" s="7"/>
      <c r="H99" s="7"/>
      <c r="I99" s="69"/>
      <c r="J99" s="69"/>
      <c r="K99" s="14"/>
      <c r="N99" s="454"/>
      <c r="O99" s="454"/>
    </row>
    <row r="100" spans="1:15" ht="15.75" customHeight="1">
      <c r="A100" s="49"/>
      <c r="B100" s="16" t="s">
        <v>81</v>
      </c>
      <c r="C100" s="17"/>
      <c r="D100" s="17"/>
      <c r="E100" s="17"/>
      <c r="F100" s="17"/>
      <c r="G100" s="17"/>
      <c r="H100" s="17"/>
      <c r="I100" s="19">
        <v>0</v>
      </c>
      <c r="J100" s="20"/>
      <c r="K100" s="21"/>
      <c r="N100" s="454"/>
      <c r="O100" s="454"/>
    </row>
    <row r="101" spans="1:15" ht="15.75" customHeight="1">
      <c r="A101" s="51"/>
      <c r="B101" s="23" t="s">
        <v>82</v>
      </c>
      <c r="C101" s="3"/>
      <c r="D101" s="3"/>
      <c r="E101" s="3"/>
      <c r="F101" s="3"/>
      <c r="G101" s="3"/>
      <c r="H101" s="3"/>
      <c r="I101" s="25">
        <v>0</v>
      </c>
      <c r="J101" s="4"/>
      <c r="K101" s="5"/>
      <c r="N101" s="454"/>
      <c r="O101" s="454"/>
    </row>
    <row r="102" spans="1:15" ht="15.75" customHeight="1">
      <c r="A102" s="51"/>
      <c r="B102" s="23" t="s">
        <v>83</v>
      </c>
      <c r="C102" s="3"/>
      <c r="D102" s="3"/>
      <c r="E102" s="3"/>
      <c r="F102" s="3"/>
      <c r="G102" s="3"/>
      <c r="H102" s="3"/>
      <c r="I102" s="25">
        <v>0</v>
      </c>
      <c r="J102" s="4"/>
      <c r="K102" s="5"/>
      <c r="N102" s="454"/>
      <c r="O102" s="454"/>
    </row>
    <row r="103" spans="1:15" ht="15.75" customHeight="1">
      <c r="A103" s="51"/>
      <c r="B103" s="23" t="s">
        <v>84</v>
      </c>
      <c r="C103" s="3"/>
      <c r="D103" s="3"/>
      <c r="E103" s="3"/>
      <c r="F103" s="3"/>
      <c r="G103" s="3"/>
      <c r="H103" s="3"/>
      <c r="I103" s="25">
        <v>0</v>
      </c>
      <c r="J103" s="4"/>
      <c r="K103" s="5"/>
      <c r="N103" s="454"/>
      <c r="O103" s="454"/>
    </row>
    <row r="104" spans="1:15" ht="15.75" customHeight="1">
      <c r="A104" s="51"/>
      <c r="B104" s="23" t="s">
        <v>85</v>
      </c>
      <c r="C104" s="3"/>
      <c r="D104" s="28"/>
      <c r="E104" s="28"/>
      <c r="F104" s="3"/>
      <c r="G104" s="3"/>
      <c r="H104" s="3"/>
      <c r="I104" s="25">
        <v>0</v>
      </c>
      <c r="J104" s="4"/>
      <c r="K104" s="5"/>
      <c r="N104" s="454"/>
      <c r="O104" s="454"/>
    </row>
    <row r="105" spans="1:15" ht="15.75" customHeight="1">
      <c r="A105" s="51"/>
      <c r="B105" s="23" t="s">
        <v>86</v>
      </c>
      <c r="C105" s="419"/>
      <c r="D105" s="434" t="s">
        <v>262</v>
      </c>
      <c r="E105" s="435"/>
      <c r="F105" s="424"/>
      <c r="G105" s="3"/>
      <c r="H105" s="84">
        <v>0</v>
      </c>
      <c r="I105" s="25">
        <f>H105*5*'pro forma'!E49</f>
        <v>0</v>
      </c>
      <c r="J105" s="4"/>
      <c r="K105" s="5"/>
      <c r="N105" s="454"/>
      <c r="O105" s="454"/>
    </row>
    <row r="106" spans="1:15" ht="15.75" customHeight="1">
      <c r="A106" s="51"/>
      <c r="B106" s="23" t="s">
        <v>87</v>
      </c>
      <c r="C106" s="3"/>
      <c r="D106" s="41"/>
      <c r="E106" s="41"/>
      <c r="F106" s="3"/>
      <c r="G106" s="3"/>
      <c r="H106" s="3"/>
      <c r="I106" s="4"/>
      <c r="J106" s="4"/>
      <c r="K106" s="5"/>
      <c r="N106" s="454"/>
      <c r="O106" s="454"/>
    </row>
    <row r="107" spans="1:15" ht="16.5" customHeight="1">
      <c r="A107" s="51"/>
      <c r="B107" s="3"/>
      <c r="C107" s="3"/>
      <c r="D107" s="3"/>
      <c r="E107" s="3"/>
      <c r="F107" s="3"/>
      <c r="G107" s="3"/>
      <c r="H107" s="3"/>
      <c r="I107" s="4"/>
      <c r="J107" s="4"/>
      <c r="K107" s="43"/>
      <c r="N107" s="454"/>
      <c r="O107" s="454"/>
    </row>
    <row r="108" spans="1:15" ht="16.5" customHeight="1">
      <c r="A108" s="85"/>
      <c r="B108" s="80" t="s">
        <v>16</v>
      </c>
      <c r="C108" s="67"/>
      <c r="D108" s="67"/>
      <c r="E108" s="67"/>
      <c r="F108" s="67"/>
      <c r="G108" s="67"/>
      <c r="H108" s="67"/>
      <c r="I108" s="68"/>
      <c r="J108" s="43"/>
      <c r="K108" s="8">
        <f>SUM(I100:I106)</f>
        <v>0</v>
      </c>
      <c r="N108" s="454"/>
      <c r="O108" s="454"/>
    </row>
    <row r="109" spans="1:15" ht="16.5" customHeight="1">
      <c r="A109" s="86"/>
      <c r="B109" s="7"/>
      <c r="C109" s="7"/>
      <c r="D109" s="7"/>
      <c r="E109" s="7"/>
      <c r="F109" s="7"/>
      <c r="G109" s="7"/>
      <c r="H109" s="7"/>
      <c r="I109" s="87"/>
      <c r="J109" s="87"/>
      <c r="K109" s="14"/>
      <c r="N109" s="454"/>
      <c r="O109" s="454"/>
    </row>
    <row r="110" spans="1:15" ht="15.75" customHeight="1" thickBot="1">
      <c r="A110" s="88" t="s">
        <v>88</v>
      </c>
      <c r="B110" s="89"/>
      <c r="C110" s="12"/>
      <c r="D110" s="12"/>
      <c r="E110" s="12"/>
      <c r="F110" s="12"/>
      <c r="G110" s="12"/>
      <c r="H110" s="12"/>
      <c r="I110" s="13">
        <f>K110/(K4+K19)</f>
        <v>0.3064709118096566</v>
      </c>
      <c r="J110" s="90"/>
      <c r="K110" s="91">
        <f>SUM(K31:K108)</f>
        <v>3134502.652892473</v>
      </c>
      <c r="N110" s="454"/>
      <c r="O110" s="454"/>
    </row>
    <row r="111" spans="1:15" ht="15.75" customHeight="1" thickBot="1">
      <c r="A111" s="358" t="s">
        <v>44</v>
      </c>
      <c r="B111" s="17"/>
      <c r="C111" s="17"/>
      <c r="D111" s="17"/>
      <c r="E111" s="17"/>
      <c r="F111" s="17"/>
      <c r="G111" s="17"/>
      <c r="H111" s="84">
        <v>0.01</v>
      </c>
      <c r="I111" s="20"/>
      <c r="J111" s="20"/>
      <c r="K111" s="8">
        <f>K110*H111</f>
        <v>31345.026528924733</v>
      </c>
      <c r="N111" s="454"/>
      <c r="O111" s="454"/>
    </row>
    <row r="112" spans="1:15" ht="16.5" customHeight="1" thickBot="1">
      <c r="A112" s="92"/>
      <c r="B112" s="93"/>
      <c r="C112" s="93"/>
      <c r="D112" s="93"/>
      <c r="E112" s="93"/>
      <c r="F112" s="93"/>
      <c r="G112" s="93"/>
      <c r="H112" s="93"/>
      <c r="I112" s="94"/>
      <c r="J112" s="94"/>
      <c r="K112" s="95"/>
      <c r="N112" s="454"/>
      <c r="O112" s="454"/>
    </row>
    <row r="113" spans="1:15" ht="18.75" customHeight="1">
      <c r="A113" s="96" t="s">
        <v>89</v>
      </c>
      <c r="B113" s="97"/>
      <c r="C113" s="98"/>
      <c r="D113" s="99"/>
      <c r="E113" s="99"/>
      <c r="F113" s="99"/>
      <c r="G113" s="99"/>
      <c r="H113" s="99"/>
      <c r="I113" s="100"/>
      <c r="J113" s="101"/>
      <c r="K113" s="102">
        <f>SUM(K4:K108)+K111</f>
        <v>13393580.661921399</v>
      </c>
      <c r="N113" s="454"/>
      <c r="O113" s="454"/>
    </row>
  </sheetData>
  <sheetProtection/>
  <mergeCells count="2">
    <mergeCell ref="A3:K3"/>
    <mergeCell ref="A1:K1"/>
  </mergeCells>
  <hyperlinks>
    <hyperlink ref="A59" r:id="rId1" display="http://www.portlandtransportation.org/SystemDevelopmentCharge/Rates.htm"/>
    <hyperlink ref="A61" r:id="rId2" display="http://www.portlandparks.org/Planning/SystemDevCharge.htm"/>
  </hyperlinks>
  <printOptions/>
  <pageMargins left="0.75" right="0.75" top="1" bottom="1" header="0.5" footer="0.5"/>
  <pageSetup fitToHeight="1" fitToWidth="1" horizontalDpi="600" verticalDpi="600" orientation="portrait" paperSize="3" scale="34"/>
  <headerFooter>
    <oddFooter>&amp;L&amp;"Helvetica,Regular"&amp;12&amp;K000000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U88"/>
  <sheetViews>
    <sheetView showGridLines="0" tabSelected="1" workbookViewId="0" topLeftCell="A143">
      <selection activeCell="N80" sqref="N80"/>
    </sheetView>
  </sheetViews>
  <sheetFormatPr defaultColWidth="6.59765625" defaultRowHeight="12.75" customHeight="1"/>
  <cols>
    <col min="1" max="1" width="24.69921875" style="1" customWidth="1"/>
    <col min="2" max="2" width="5.59765625" style="1" customWidth="1"/>
    <col min="3" max="3" width="9.5" style="1" customWidth="1"/>
    <col min="4" max="4" width="9" style="1" customWidth="1"/>
    <col min="5" max="5" width="9.3984375" style="1" customWidth="1"/>
    <col min="6" max="6" width="8.59765625" style="1" customWidth="1"/>
    <col min="7" max="7" width="22.09765625" style="1" customWidth="1"/>
    <col min="8" max="8" width="11" style="1" customWidth="1"/>
    <col min="9" max="9" width="10.5" style="1" customWidth="1"/>
    <col min="10" max="10" width="9.59765625" style="1" customWidth="1"/>
    <col min="11" max="17" width="9.5" style="1" customWidth="1"/>
    <col min="18" max="18" width="9.59765625" style="1" customWidth="1"/>
    <col min="19" max="19" width="8.5" style="1" customWidth="1"/>
    <col min="20" max="16384" width="6.59765625" style="1" customWidth="1"/>
  </cols>
  <sheetData>
    <row r="1" spans="1:21" ht="23.25" customHeight="1">
      <c r="A1" s="518" t="s">
        <v>368</v>
      </c>
      <c r="B1" s="519"/>
      <c r="C1" s="519"/>
      <c r="D1" s="519"/>
      <c r="E1" s="519"/>
      <c r="F1" s="519"/>
      <c r="G1" s="519"/>
      <c r="H1" s="519"/>
      <c r="I1" s="520"/>
      <c r="J1" s="103"/>
      <c r="K1" s="4"/>
      <c r="L1" s="4"/>
      <c r="M1" s="4"/>
      <c r="N1" s="4"/>
      <c r="O1" s="4"/>
      <c r="P1" s="4"/>
      <c r="Q1" s="4"/>
      <c r="R1" s="4"/>
      <c r="S1" s="4"/>
      <c r="T1" s="4"/>
      <c r="U1" s="4"/>
    </row>
    <row r="2" spans="1:21" ht="12.75" customHeight="1">
      <c r="A2" s="104"/>
      <c r="B2" s="105"/>
      <c r="C2" s="105"/>
      <c r="D2" s="105"/>
      <c r="E2" s="105"/>
      <c r="F2" s="105"/>
      <c r="G2" s="105"/>
      <c r="H2" s="105"/>
      <c r="I2" s="106"/>
      <c r="J2" s="103"/>
      <c r="K2" s="4"/>
      <c r="L2" s="4"/>
      <c r="M2" s="4"/>
      <c r="N2" s="4"/>
      <c r="O2" s="4"/>
      <c r="P2" s="4"/>
      <c r="Q2" s="4"/>
      <c r="R2" s="4"/>
      <c r="S2" s="4"/>
      <c r="T2" s="4"/>
      <c r="U2" s="4"/>
    </row>
    <row r="3" spans="1:21" ht="12.75" customHeight="1">
      <c r="A3" s="515">
        <v>44146</v>
      </c>
      <c r="B3" s="516"/>
      <c r="C3" s="516"/>
      <c r="D3" s="516"/>
      <c r="E3" s="516"/>
      <c r="F3" s="516"/>
      <c r="G3" s="516"/>
      <c r="H3" s="516"/>
      <c r="I3" s="517"/>
      <c r="J3" s="103"/>
      <c r="K3" s="4"/>
      <c r="L3" s="4"/>
      <c r="M3" s="4"/>
      <c r="N3" s="4"/>
      <c r="O3" s="4"/>
      <c r="P3" s="4"/>
      <c r="Q3" s="4"/>
      <c r="R3" s="4"/>
      <c r="S3" s="4"/>
      <c r="T3" s="4"/>
      <c r="U3" s="4"/>
    </row>
    <row r="4" spans="1:21" ht="7.5" customHeight="1">
      <c r="A4" s="87"/>
      <c r="B4" s="87"/>
      <c r="C4" s="87"/>
      <c r="D4" s="87"/>
      <c r="E4" s="87"/>
      <c r="F4" s="107"/>
      <c r="G4" s="87"/>
      <c r="H4" s="87"/>
      <c r="I4" s="87"/>
      <c r="J4" s="4"/>
      <c r="K4" s="4"/>
      <c r="L4" s="4"/>
      <c r="M4" s="4"/>
      <c r="N4" s="4"/>
      <c r="O4" s="4"/>
      <c r="P4" s="4"/>
      <c r="Q4" s="4"/>
      <c r="R4" s="4"/>
      <c r="S4" s="4"/>
      <c r="T4" s="4"/>
      <c r="U4" s="4"/>
    </row>
    <row r="5" spans="1:21" ht="15.75" customHeight="1">
      <c r="A5" s="521" t="s">
        <v>90</v>
      </c>
      <c r="B5" s="522"/>
      <c r="C5" s="522"/>
      <c r="D5" s="522"/>
      <c r="E5" s="523"/>
      <c r="F5" s="108"/>
      <c r="G5" s="521" t="s">
        <v>91</v>
      </c>
      <c r="H5" s="522"/>
      <c r="I5" s="523"/>
      <c r="J5" s="109"/>
      <c r="K5" s="4"/>
      <c r="L5" s="4"/>
      <c r="M5" s="4"/>
      <c r="N5" s="4"/>
      <c r="O5" s="4"/>
      <c r="P5" s="4"/>
      <c r="Q5" s="4"/>
      <c r="R5" s="3"/>
      <c r="S5" s="3"/>
      <c r="T5" s="4"/>
      <c r="U5" s="4"/>
    </row>
    <row r="6" spans="1:21" ht="15.75" customHeight="1">
      <c r="A6" s="110" t="s">
        <v>92</v>
      </c>
      <c r="B6" s="17"/>
      <c r="C6" s="111"/>
      <c r="D6" s="111"/>
      <c r="E6" s="112">
        <v>18000</v>
      </c>
      <c r="F6" s="108"/>
      <c r="G6" s="113"/>
      <c r="H6" s="114"/>
      <c r="I6" s="115"/>
      <c r="J6" s="109"/>
      <c r="K6" s="4"/>
      <c r="L6" s="4"/>
      <c r="M6" s="4"/>
      <c r="N6" s="4"/>
      <c r="O6" s="4"/>
      <c r="P6" s="4"/>
      <c r="Q6" s="4"/>
      <c r="R6" s="3"/>
      <c r="S6" s="3"/>
      <c r="T6" s="4"/>
      <c r="U6" s="4"/>
    </row>
    <row r="7" spans="1:21" ht="15.75" customHeight="1">
      <c r="A7" s="46"/>
      <c r="B7" s="46"/>
      <c r="C7" s="116"/>
      <c r="D7" s="116"/>
      <c r="E7" s="117"/>
      <c r="F7" s="108"/>
      <c r="G7" s="118" t="s">
        <v>93</v>
      </c>
      <c r="H7" s="3"/>
      <c r="I7" s="119">
        <v>0.05</v>
      </c>
      <c r="J7" s="109"/>
      <c r="K7" s="4"/>
      <c r="L7" s="4"/>
      <c r="M7" s="4"/>
      <c r="N7" s="4"/>
      <c r="O7" s="4"/>
      <c r="P7" s="4"/>
      <c r="Q7" s="4"/>
      <c r="R7" s="73"/>
      <c r="S7" s="73"/>
      <c r="T7" s="4"/>
      <c r="U7" s="120"/>
    </row>
    <row r="8" spans="1:21" ht="15.75" customHeight="1">
      <c r="A8" s="110" t="s">
        <v>240</v>
      </c>
      <c r="B8" s="16">
        <v>8</v>
      </c>
      <c r="C8" s="121" t="s">
        <v>94</v>
      </c>
      <c r="D8" s="401">
        <f>'Unit table'!F21</f>
        <v>372.125</v>
      </c>
      <c r="E8" s="112">
        <f>'Unit table'!F22</f>
        <v>2977</v>
      </c>
      <c r="F8" s="122"/>
      <c r="G8" s="118" t="s">
        <v>95</v>
      </c>
      <c r="H8" s="3"/>
      <c r="I8" s="123">
        <v>24</v>
      </c>
      <c r="J8" s="109"/>
      <c r="K8" s="4"/>
      <c r="L8" s="4"/>
      <c r="M8" s="4"/>
      <c r="N8" s="4"/>
      <c r="O8" s="4"/>
      <c r="P8" s="4"/>
      <c r="Q8" s="4"/>
      <c r="R8" s="73"/>
      <c r="S8" s="73"/>
      <c r="T8" s="4"/>
      <c r="U8" s="4"/>
    </row>
    <row r="9" spans="1:21" ht="15.75" customHeight="1">
      <c r="A9" s="118" t="s">
        <v>237</v>
      </c>
      <c r="B9" s="3">
        <f>49-B11</f>
        <v>29</v>
      </c>
      <c r="C9" s="124" t="s">
        <v>96</v>
      </c>
      <c r="D9" s="3">
        <f>'Unit table'!H66</f>
        <v>638.0612244897959</v>
      </c>
      <c r="E9" s="125">
        <f>D9*B9</f>
        <v>18503.775510204083</v>
      </c>
      <c r="F9" s="122"/>
      <c r="G9" s="126" t="s">
        <v>97</v>
      </c>
      <c r="H9" s="73"/>
      <c r="I9" s="127">
        <v>10300000</v>
      </c>
      <c r="J9" s="458">
        <f>I9/13700000</f>
        <v>0.7518248175182481</v>
      </c>
      <c r="K9" s="4" t="s">
        <v>277</v>
      </c>
      <c r="L9" s="4"/>
      <c r="M9" s="4"/>
      <c r="N9" s="4"/>
      <c r="O9" s="4"/>
      <c r="P9" s="4"/>
      <c r="Q9" s="4"/>
      <c r="R9" s="73"/>
      <c r="S9" s="73"/>
      <c r="T9" s="4"/>
      <c r="U9" s="4"/>
    </row>
    <row r="10" spans="1:21" ht="15.75" customHeight="1">
      <c r="A10" s="118"/>
      <c r="B10" s="3">
        <v>0</v>
      </c>
      <c r="C10" s="124" t="s">
        <v>96</v>
      </c>
      <c r="D10" s="3">
        <f>D9</f>
        <v>638.0612244897959</v>
      </c>
      <c r="E10" s="125"/>
      <c r="F10" s="122"/>
      <c r="G10" s="388" t="s">
        <v>98</v>
      </c>
      <c r="H10" s="28"/>
      <c r="I10" s="389">
        <v>1</v>
      </c>
      <c r="J10" s="118" t="s">
        <v>99</v>
      </c>
      <c r="K10" s="4"/>
      <c r="L10" s="4"/>
      <c r="M10" s="4"/>
      <c r="N10" s="4"/>
      <c r="O10" s="4"/>
      <c r="P10" s="4"/>
      <c r="Q10" s="4"/>
      <c r="R10" s="73"/>
      <c r="S10" s="73"/>
      <c r="T10" s="4"/>
      <c r="U10" s="4"/>
    </row>
    <row r="11" spans="1:21" ht="15.75" customHeight="1">
      <c r="A11" s="118" t="s">
        <v>266</v>
      </c>
      <c r="B11" s="3">
        <v>20</v>
      </c>
      <c r="C11" s="124" t="s">
        <v>96</v>
      </c>
      <c r="D11" s="3">
        <f>D9</f>
        <v>638.0612244897959</v>
      </c>
      <c r="E11" s="125">
        <f>B11*D11</f>
        <v>12761.224489795917</v>
      </c>
      <c r="F11" s="436"/>
      <c r="G11" s="441" t="s">
        <v>265</v>
      </c>
      <c r="H11" s="442"/>
      <c r="I11" s="443">
        <f>E46+I35-I9</f>
        <v>2493580.661921397</v>
      </c>
      <c r="J11" s="437"/>
      <c r="K11" s="4"/>
      <c r="L11" s="4"/>
      <c r="M11" s="4"/>
      <c r="N11" s="4"/>
      <c r="O11" s="4"/>
      <c r="P11" s="4"/>
      <c r="Q11" s="4"/>
      <c r="R11" s="73"/>
      <c r="S11" s="73"/>
      <c r="T11" s="4"/>
      <c r="U11" s="4"/>
    </row>
    <row r="12" spans="1:21" ht="15.75" customHeight="1">
      <c r="A12" s="118"/>
      <c r="B12" s="4"/>
      <c r="C12" s="128"/>
      <c r="D12" s="4"/>
      <c r="E12" s="125"/>
      <c r="F12" s="122"/>
      <c r="G12" s="438" t="s">
        <v>100</v>
      </c>
      <c r="H12" s="439"/>
      <c r="I12" s="440">
        <f>I7*I9*I10</f>
        <v>515000</v>
      </c>
      <c r="J12" s="109"/>
      <c r="K12" s="4"/>
      <c r="L12" s="4"/>
      <c r="M12" s="4"/>
      <c r="N12" s="4"/>
      <c r="O12" s="4"/>
      <c r="P12" s="4"/>
      <c r="Q12" s="4"/>
      <c r="R12" s="73"/>
      <c r="S12" s="73"/>
      <c r="T12" s="4"/>
      <c r="U12" s="4"/>
    </row>
    <row r="13" spans="1:21" ht="15.75" customHeight="1">
      <c r="A13" s="118"/>
      <c r="B13" s="3">
        <f>B9+B11</f>
        <v>49</v>
      </c>
      <c r="C13" s="128" t="s">
        <v>101</v>
      </c>
      <c r="D13" s="4"/>
      <c r="E13" s="125"/>
      <c r="F13" s="393"/>
      <c r="G13" s="131"/>
      <c r="H13" s="131"/>
      <c r="I13" s="131"/>
      <c r="J13" s="4"/>
      <c r="K13" s="4"/>
      <c r="L13" s="4"/>
      <c r="M13" s="4"/>
      <c r="N13" s="4"/>
      <c r="O13" s="4"/>
      <c r="P13" s="4"/>
      <c r="Q13" s="4"/>
      <c r="R13" s="3"/>
      <c r="S13" s="3"/>
      <c r="T13" s="4"/>
      <c r="U13" s="4"/>
    </row>
    <row r="14" spans="1:21" ht="15.75" customHeight="1">
      <c r="A14" s="132" t="s">
        <v>102</v>
      </c>
      <c r="B14" s="3"/>
      <c r="C14" s="133">
        <v>0.15</v>
      </c>
      <c r="D14" s="3"/>
      <c r="E14" s="125">
        <f>E16-E17</f>
        <v>5764</v>
      </c>
      <c r="F14" s="387"/>
      <c r="G14" s="521" t="s">
        <v>103</v>
      </c>
      <c r="H14" s="522"/>
      <c r="I14" s="523"/>
      <c r="J14" s="109"/>
      <c r="K14" s="3"/>
      <c r="L14" s="3"/>
      <c r="M14" s="3"/>
      <c r="N14" s="3"/>
      <c r="O14" s="3"/>
      <c r="P14" s="134"/>
      <c r="Q14" s="3"/>
      <c r="R14" s="3"/>
      <c r="S14" s="3"/>
      <c r="T14" s="4"/>
      <c r="U14" s="4"/>
    </row>
    <row r="15" spans="1:21" ht="15.75" customHeight="1">
      <c r="A15" s="118" t="s">
        <v>104</v>
      </c>
      <c r="B15" s="3">
        <f>B13+B8</f>
        <v>57</v>
      </c>
      <c r="C15" s="23" t="s">
        <v>53</v>
      </c>
      <c r="D15" s="4"/>
      <c r="E15" s="125"/>
      <c r="F15" s="108"/>
      <c r="G15" s="135"/>
      <c r="H15" s="136" t="s">
        <v>105</v>
      </c>
      <c r="I15" s="137" t="s">
        <v>362</v>
      </c>
      <c r="J15" s="109"/>
      <c r="K15" s="394"/>
      <c r="L15" s="3"/>
      <c r="M15" s="3"/>
      <c r="N15" s="3"/>
      <c r="O15" s="3"/>
      <c r="P15" s="134"/>
      <c r="Q15" s="3"/>
      <c r="R15" s="3"/>
      <c r="S15" s="3"/>
      <c r="T15" s="4"/>
      <c r="U15" s="4"/>
    </row>
    <row r="16" spans="1:21" ht="15.75" customHeight="1">
      <c r="A16" s="124" t="s">
        <v>106</v>
      </c>
      <c r="B16" s="138"/>
      <c r="C16" s="3" t="s">
        <v>230</v>
      </c>
      <c r="D16" s="3"/>
      <c r="E16" s="125">
        <v>40006</v>
      </c>
      <c r="F16" s="108"/>
      <c r="G16" s="126" t="s">
        <v>107</v>
      </c>
      <c r="H16" s="139">
        <f>-PV(H17/12,H18*12,H23/H19/12,0)</f>
        <v>11578720.12408018</v>
      </c>
      <c r="I16" s="140">
        <f>I20*I21</f>
        <v>10976010.500331532</v>
      </c>
      <c r="J16" s="109"/>
      <c r="K16" s="3"/>
      <c r="L16" s="3"/>
      <c r="M16" s="3"/>
      <c r="N16" s="3"/>
      <c r="O16" s="3"/>
      <c r="P16" s="134"/>
      <c r="Q16" s="3"/>
      <c r="R16" s="141"/>
      <c r="S16" s="141"/>
      <c r="T16" s="4"/>
      <c r="U16" s="4"/>
    </row>
    <row r="17" spans="1:21" ht="15.75" customHeight="1">
      <c r="A17" s="132" t="s">
        <v>108</v>
      </c>
      <c r="B17" s="138"/>
      <c r="C17" s="138"/>
      <c r="D17" s="138"/>
      <c r="E17" s="125">
        <f>SUM(E8:E11)</f>
        <v>34242</v>
      </c>
      <c r="F17" s="108"/>
      <c r="G17" s="118" t="s">
        <v>93</v>
      </c>
      <c r="H17" s="142">
        <v>0.03</v>
      </c>
      <c r="I17" s="143">
        <f>H17</f>
        <v>0.03</v>
      </c>
      <c r="J17" s="109"/>
      <c r="K17" s="3"/>
      <c r="L17" s="3"/>
      <c r="M17" s="3"/>
      <c r="N17" s="3"/>
      <c r="O17" s="3"/>
      <c r="P17" s="134"/>
      <c r="Q17" s="3"/>
      <c r="R17" s="3"/>
      <c r="S17" s="3"/>
      <c r="T17" s="4"/>
      <c r="U17" s="4"/>
    </row>
    <row r="18" spans="1:21" ht="15.75" customHeight="1">
      <c r="A18" s="144" t="s">
        <v>109</v>
      </c>
      <c r="B18" s="116"/>
      <c r="C18" s="46"/>
      <c r="D18" s="46"/>
      <c r="E18" s="145">
        <f>E17/E16</f>
        <v>0.8559216117582362</v>
      </c>
      <c r="F18" s="146"/>
      <c r="G18" s="118" t="s">
        <v>110</v>
      </c>
      <c r="H18" s="23">
        <v>35</v>
      </c>
      <c r="I18" s="147"/>
      <c r="J18" s="109"/>
      <c r="K18" s="3"/>
      <c r="L18" s="3"/>
      <c r="M18" s="3"/>
      <c r="N18" s="3"/>
      <c r="O18" s="3"/>
      <c r="P18" s="3"/>
      <c r="Q18" s="3"/>
      <c r="R18" s="3"/>
      <c r="S18" s="3"/>
      <c r="T18" s="4"/>
      <c r="U18" s="4"/>
    </row>
    <row r="19" spans="1:21" ht="15.75" customHeight="1">
      <c r="A19" s="148" t="s">
        <v>111</v>
      </c>
      <c r="B19" s="149">
        <v>30</v>
      </c>
      <c r="C19" s="150">
        <f>B19/12</f>
        <v>2.5</v>
      </c>
      <c r="D19" s="151" t="s">
        <v>112</v>
      </c>
      <c r="E19" s="152">
        <f>C19*D8</f>
        <v>930.3125</v>
      </c>
      <c r="F19" s="153"/>
      <c r="G19" s="118" t="s">
        <v>113</v>
      </c>
      <c r="H19" s="154">
        <v>1.3</v>
      </c>
      <c r="I19" s="147"/>
      <c r="J19" s="109"/>
      <c r="K19" s="3"/>
      <c r="L19" s="3"/>
      <c r="M19" s="3"/>
      <c r="N19" s="3"/>
      <c r="O19" s="3"/>
      <c r="P19" s="4"/>
      <c r="Q19" s="3"/>
      <c r="R19" s="3"/>
      <c r="S19" s="3"/>
      <c r="T19" s="4"/>
      <c r="U19" s="4"/>
    </row>
    <row r="20" spans="1:21" ht="13.5" customHeight="1">
      <c r="A20" s="155" t="s">
        <v>267</v>
      </c>
      <c r="B20" s="156">
        <f>C20*12</f>
        <v>30.091156245002402</v>
      </c>
      <c r="C20" s="157">
        <f>E20/D9</f>
        <v>2.5075963537502</v>
      </c>
      <c r="D20" s="158" t="s">
        <v>112</v>
      </c>
      <c r="E20" s="159">
        <v>1600</v>
      </c>
      <c r="F20" s="153"/>
      <c r="G20" s="118" t="s">
        <v>114</v>
      </c>
      <c r="H20" s="4"/>
      <c r="I20" s="160">
        <f>I23/I24</f>
        <v>14634680.66710871</v>
      </c>
      <c r="J20" s="109"/>
      <c r="K20" s="3"/>
      <c r="L20" s="3"/>
      <c r="M20" s="3"/>
      <c r="N20" s="3"/>
      <c r="O20" s="3"/>
      <c r="P20" s="3"/>
      <c r="Q20" s="3"/>
      <c r="R20" s="3"/>
      <c r="S20" s="3"/>
      <c r="T20" s="4"/>
      <c r="U20" s="4"/>
    </row>
    <row r="21" spans="1:21" ht="15.75" customHeight="1">
      <c r="A21" s="155" t="s">
        <v>219</v>
      </c>
      <c r="B21" s="156">
        <f>C21*12</f>
        <v>0</v>
      </c>
      <c r="C21" s="157">
        <f>E21/D10</f>
        <v>0</v>
      </c>
      <c r="D21" s="158" t="s">
        <v>112</v>
      </c>
      <c r="E21" s="159"/>
      <c r="F21" s="153"/>
      <c r="G21" s="118" t="s">
        <v>235</v>
      </c>
      <c r="H21" s="4"/>
      <c r="I21" s="161">
        <v>0.75</v>
      </c>
      <c r="J21" s="162"/>
      <c r="K21" s="3"/>
      <c r="L21" s="3"/>
      <c r="M21" s="3"/>
      <c r="N21" s="3"/>
      <c r="O21" s="3"/>
      <c r="P21" s="3"/>
      <c r="Q21" s="3"/>
      <c r="R21" s="3"/>
      <c r="S21" s="3"/>
      <c r="T21" s="4"/>
      <c r="U21" s="4"/>
    </row>
    <row r="22" spans="1:21" ht="15.75" customHeight="1">
      <c r="A22" s="155" t="s">
        <v>268</v>
      </c>
      <c r="B22" s="156">
        <f>C22*12</f>
        <v>20.067039820885974</v>
      </c>
      <c r="C22" s="157">
        <f>E22/D10</f>
        <v>1.6722533184071646</v>
      </c>
      <c r="D22" s="158" t="s">
        <v>112</v>
      </c>
      <c r="E22" s="159">
        <v>1067</v>
      </c>
      <c r="F22" s="153"/>
      <c r="G22" s="118" t="s">
        <v>263</v>
      </c>
      <c r="H22" s="142">
        <f>H23/H25</f>
        <v>0.06333333333333334</v>
      </c>
      <c r="I22" s="160"/>
      <c r="J22" s="162"/>
      <c r="K22" s="3"/>
      <c r="L22" s="3"/>
      <c r="M22" s="3"/>
      <c r="N22" s="3"/>
      <c r="O22" s="3"/>
      <c r="P22" s="3"/>
      <c r="Q22" s="3"/>
      <c r="R22" s="3"/>
      <c r="S22" s="3"/>
      <c r="T22" s="4"/>
      <c r="U22" s="4"/>
    </row>
    <row r="23" spans="1:21" ht="15.75" customHeight="1">
      <c r="A23" s="163" t="s">
        <v>115</v>
      </c>
      <c r="B23" s="156"/>
      <c r="C23" s="451">
        <f>(E9+E10+E11+E12)/E17</f>
        <v>0.9130599848139711</v>
      </c>
      <c r="D23" s="166"/>
      <c r="E23" s="159"/>
      <c r="F23" s="153"/>
      <c r="G23" s="118" t="s">
        <v>116</v>
      </c>
      <c r="H23" s="164">
        <f>E69</f>
        <v>695147.3316876638</v>
      </c>
      <c r="I23" s="140">
        <f>H23</f>
        <v>695147.3316876638</v>
      </c>
      <c r="J23" s="165"/>
      <c r="K23" s="3"/>
      <c r="L23" s="3"/>
      <c r="M23" s="3"/>
      <c r="N23" s="3"/>
      <c r="O23" s="3"/>
      <c r="P23" s="164"/>
      <c r="Q23" s="3"/>
      <c r="R23" s="3"/>
      <c r="S23" s="3"/>
      <c r="T23" s="4"/>
      <c r="U23" s="4"/>
    </row>
    <row r="24" spans="1:21" ht="15.75" customHeight="1">
      <c r="A24" s="163" t="s">
        <v>271</v>
      </c>
      <c r="B24" s="156"/>
      <c r="C24" s="451">
        <f>E11/E17</f>
        <v>0.372677544822029</v>
      </c>
      <c r="D24" s="166"/>
      <c r="E24" s="159"/>
      <c r="F24" s="108"/>
      <c r="G24" s="118" t="s">
        <v>117</v>
      </c>
      <c r="H24" s="4"/>
      <c r="I24" s="167">
        <v>0.0475</v>
      </c>
      <c r="J24" s="109"/>
      <c r="K24" s="3"/>
      <c r="L24" s="3"/>
      <c r="M24" s="3"/>
      <c r="N24" s="3"/>
      <c r="O24" s="3"/>
      <c r="P24" s="3"/>
      <c r="Q24" s="3"/>
      <c r="R24" s="3"/>
      <c r="S24" s="3"/>
      <c r="T24" s="4"/>
      <c r="U24" s="4"/>
    </row>
    <row r="25" spans="1:21" ht="15.75" customHeight="1">
      <c r="A25" s="168"/>
      <c r="B25" s="39"/>
      <c r="C25" s="169"/>
      <c r="D25" s="395"/>
      <c r="E25" s="496"/>
      <c r="F25" s="108"/>
      <c r="G25" s="126" t="s">
        <v>118</v>
      </c>
      <c r="H25" s="164">
        <f>MIN(H16:I16)</f>
        <v>10976010.500331532</v>
      </c>
      <c r="I25" s="170"/>
      <c r="J25" s="109"/>
      <c r="K25" s="3"/>
      <c r="L25" s="3"/>
      <c r="M25" s="3"/>
      <c r="N25" s="3"/>
      <c r="O25" s="3"/>
      <c r="P25" s="3"/>
      <c r="Q25" s="3"/>
      <c r="R25" s="3"/>
      <c r="S25" s="3"/>
      <c r="T25" s="4"/>
      <c r="U25" s="4"/>
    </row>
    <row r="26" spans="1:21" ht="15.75" customHeight="1">
      <c r="A26" s="171"/>
      <c r="B26" s="172"/>
      <c r="C26" s="173"/>
      <c r="D26" s="173"/>
      <c r="E26" s="174"/>
      <c r="F26" s="108"/>
      <c r="G26" s="129" t="s">
        <v>119</v>
      </c>
      <c r="H26" s="175">
        <f>PMT(H17/12,H18*12,H25,0)*12</f>
        <v>-506894.3671013562</v>
      </c>
      <c r="I26" s="130"/>
      <c r="J26" s="109"/>
      <c r="K26" s="3"/>
      <c r="L26" s="3"/>
      <c r="M26" s="3"/>
      <c r="N26" s="3"/>
      <c r="O26" s="3"/>
      <c r="P26" s="3"/>
      <c r="Q26" s="3"/>
      <c r="R26" s="3"/>
      <c r="S26" s="3"/>
      <c r="T26" s="4"/>
      <c r="U26" s="4"/>
    </row>
    <row r="27" spans="1:21" ht="15.75" customHeight="1">
      <c r="A27" s="521" t="s">
        <v>120</v>
      </c>
      <c r="B27" s="522"/>
      <c r="C27" s="522"/>
      <c r="D27" s="522"/>
      <c r="E27" s="523"/>
      <c r="F27" s="109"/>
      <c r="G27" s="131"/>
      <c r="H27" s="131"/>
      <c r="I27" s="131"/>
      <c r="J27" s="4"/>
      <c r="K27" s="4"/>
      <c r="L27" s="3"/>
      <c r="M27" s="3"/>
      <c r="N27" s="3"/>
      <c r="O27" s="3"/>
      <c r="P27" s="3"/>
      <c r="Q27" s="3"/>
      <c r="R27" s="3"/>
      <c r="S27" s="3"/>
      <c r="T27" s="4"/>
      <c r="U27" s="4"/>
    </row>
    <row r="28" spans="1:21" ht="15.75" customHeight="1">
      <c r="A28" s="176" t="s">
        <v>121</v>
      </c>
      <c r="B28" s="177"/>
      <c r="C28" s="178">
        <f>E28/E6</f>
        <v>130</v>
      </c>
      <c r="D28" s="151" t="s">
        <v>122</v>
      </c>
      <c r="E28" s="179">
        <f>SUM(1170000*2)</f>
        <v>2340000</v>
      </c>
      <c r="F28" s="108"/>
      <c r="G28" s="521" t="s">
        <v>123</v>
      </c>
      <c r="H28" s="522"/>
      <c r="I28" s="523"/>
      <c r="J28" s="360"/>
      <c r="K28" s="4"/>
      <c r="L28" s="3"/>
      <c r="M28" s="3"/>
      <c r="N28" s="3"/>
      <c r="O28" s="3"/>
      <c r="P28" s="3"/>
      <c r="Q28" s="3"/>
      <c r="R28" s="3"/>
      <c r="S28" s="3"/>
      <c r="T28" s="4"/>
      <c r="U28" s="4"/>
    </row>
    <row r="29" spans="1:21" ht="15.75" customHeight="1">
      <c r="A29" s="126" t="s">
        <v>124</v>
      </c>
      <c r="B29" s="180"/>
      <c r="C29" s="181"/>
      <c r="D29" s="181"/>
      <c r="E29" s="182"/>
      <c r="F29" s="183"/>
      <c r="G29" s="110" t="s">
        <v>125</v>
      </c>
      <c r="H29" s="17"/>
      <c r="I29" s="184">
        <f>E46</f>
        <v>13393580.661921397</v>
      </c>
      <c r="J29" s="109"/>
      <c r="K29" s="185"/>
      <c r="L29" s="3"/>
      <c r="M29" s="409"/>
      <c r="N29" s="3"/>
      <c r="O29" s="3"/>
      <c r="P29" s="3"/>
      <c r="Q29" s="3"/>
      <c r="R29" s="3"/>
      <c r="S29" s="3"/>
      <c r="T29" s="4"/>
      <c r="U29" s="4"/>
    </row>
    <row r="30" spans="1:21" ht="15.75" customHeight="1">
      <c r="A30" s="186" t="s">
        <v>126</v>
      </c>
      <c r="B30" s="180"/>
      <c r="C30" s="181">
        <v>185</v>
      </c>
      <c r="D30" s="158" t="s">
        <v>127</v>
      </c>
      <c r="E30" s="182">
        <f>C30*E16</f>
        <v>7401110</v>
      </c>
      <c r="F30" s="108"/>
      <c r="G30" s="162"/>
      <c r="H30" s="3"/>
      <c r="I30" s="187"/>
      <c r="J30" s="109"/>
      <c r="K30" s="4"/>
      <c r="L30" s="120"/>
      <c r="M30" s="3"/>
      <c r="N30" s="3"/>
      <c r="O30" s="3"/>
      <c r="P30" s="3"/>
      <c r="Q30" s="3"/>
      <c r="R30" s="3"/>
      <c r="S30" s="3"/>
      <c r="T30" s="4"/>
      <c r="U30" s="4"/>
    </row>
    <row r="31" spans="1:21" ht="15.75" customHeight="1">
      <c r="A31" s="186"/>
      <c r="B31" s="180"/>
      <c r="C31" s="181"/>
      <c r="D31" s="158"/>
      <c r="E31" s="182"/>
      <c r="F31" s="108"/>
      <c r="G31" s="162"/>
      <c r="H31" s="3"/>
      <c r="I31" s="187"/>
      <c r="J31" s="109"/>
      <c r="K31" s="4"/>
      <c r="L31" s="120"/>
      <c r="M31" s="3"/>
      <c r="N31" s="3"/>
      <c r="O31" s="3"/>
      <c r="P31" s="3"/>
      <c r="Q31" s="3"/>
      <c r="R31" s="3"/>
      <c r="S31" s="3"/>
      <c r="T31" s="4"/>
      <c r="U31" s="4"/>
    </row>
    <row r="32" spans="1:21" ht="15.75" customHeight="1">
      <c r="A32" s="186" t="s">
        <v>279</v>
      </c>
      <c r="B32" s="180"/>
      <c r="C32" s="181" t="s">
        <v>236</v>
      </c>
      <c r="D32" s="188"/>
      <c r="E32" s="182">
        <v>0</v>
      </c>
      <c r="F32" s="108"/>
      <c r="G32" s="118" t="s">
        <v>128</v>
      </c>
      <c r="H32" s="3"/>
      <c r="I32" s="189">
        <f>-H25</f>
        <v>-10976010.500331532</v>
      </c>
      <c r="J32" s="109"/>
      <c r="K32" s="190"/>
      <c r="L32" s="73"/>
      <c r="M32" s="3"/>
      <c r="N32" s="3"/>
      <c r="O32" s="3"/>
      <c r="P32" s="3"/>
      <c r="Q32" s="3"/>
      <c r="R32" s="3"/>
      <c r="S32" s="3"/>
      <c r="T32" s="4"/>
      <c r="U32" s="4"/>
    </row>
    <row r="33" spans="1:21" ht="15.75" customHeight="1">
      <c r="A33" s="364" t="s">
        <v>222</v>
      </c>
      <c r="B33" s="180"/>
      <c r="C33" s="191">
        <v>0.015</v>
      </c>
      <c r="D33" s="188"/>
      <c r="E33" s="182">
        <f>C33*E30</f>
        <v>111016.65</v>
      </c>
      <c r="F33" s="108"/>
      <c r="G33" s="118"/>
      <c r="H33" s="3"/>
      <c r="I33" s="189"/>
      <c r="J33" s="109"/>
      <c r="K33" s="190"/>
      <c r="L33" s="73"/>
      <c r="M33" s="3"/>
      <c r="N33" s="3"/>
      <c r="O33" s="3"/>
      <c r="P33" s="3"/>
      <c r="Q33" s="3"/>
      <c r="R33" s="3"/>
      <c r="S33" s="3"/>
      <c r="T33" s="4"/>
      <c r="U33" s="4"/>
    </row>
    <row r="34" spans="1:21" ht="15.75" customHeight="1">
      <c r="A34" s="126" t="s">
        <v>129</v>
      </c>
      <c r="B34" s="73"/>
      <c r="C34" s="191">
        <v>0.05</v>
      </c>
      <c r="D34" s="192" t="s">
        <v>130</v>
      </c>
      <c r="E34" s="193">
        <f>'Soft Costs'!I17</f>
        <v>375606.3325</v>
      </c>
      <c r="F34" s="108"/>
      <c r="G34" s="118" t="s">
        <v>131</v>
      </c>
      <c r="H34" s="3"/>
      <c r="I34" s="187">
        <v>0</v>
      </c>
      <c r="J34" s="194"/>
      <c r="K34" s="195"/>
      <c r="L34" s="73"/>
      <c r="M34" s="3"/>
      <c r="N34" s="3"/>
      <c r="O34" s="3"/>
      <c r="P34" s="3"/>
      <c r="Q34" s="3"/>
      <c r="R34" s="3"/>
      <c r="S34" s="3"/>
      <c r="T34" s="4"/>
      <c r="U34" s="4"/>
    </row>
    <row r="35" spans="1:21" ht="15.75" customHeight="1">
      <c r="A35" s="126" t="s">
        <v>132</v>
      </c>
      <c r="B35" s="73"/>
      <c r="C35" s="196">
        <f>E35/(E30+E32+E34)</f>
        <v>0.0030218409667059822</v>
      </c>
      <c r="D35" s="124" t="s">
        <v>130</v>
      </c>
      <c r="E35" s="197">
        <f>'Soft Costs'!K31</f>
        <v>23500</v>
      </c>
      <c r="F35" s="108"/>
      <c r="G35" s="118" t="s">
        <v>221</v>
      </c>
      <c r="H35" s="198">
        <f>-I35/E37</f>
        <v>0.5714285714285714</v>
      </c>
      <c r="I35" s="189">
        <v>-600000</v>
      </c>
      <c r="J35" s="199">
        <f>(E37+I35)/30</f>
        <v>15000</v>
      </c>
      <c r="K35" s="200" t="s">
        <v>243</v>
      </c>
      <c r="L35" s="73"/>
      <c r="M35" s="3"/>
      <c r="N35" s="3"/>
      <c r="O35" s="3"/>
      <c r="P35" s="3"/>
      <c r="Q35" s="3"/>
      <c r="R35" s="3"/>
      <c r="S35" s="3"/>
      <c r="T35" s="4"/>
      <c r="U35" s="4"/>
    </row>
    <row r="36" spans="1:21" ht="15.75" customHeight="1">
      <c r="A36" s="126" t="s">
        <v>133</v>
      </c>
      <c r="B36" s="73"/>
      <c r="C36" s="196">
        <f>E36/(E30+E32+E34)</f>
        <v>0.04000025731779513</v>
      </c>
      <c r="D36" s="124" t="s">
        <v>130</v>
      </c>
      <c r="E36" s="497">
        <f>'Soft Costs'!K40</f>
        <v>311070.6543875</v>
      </c>
      <c r="F36" s="108"/>
      <c r="G36" s="162"/>
      <c r="H36" s="198"/>
      <c r="I36" s="189"/>
      <c r="J36" s="109"/>
      <c r="K36" s="190"/>
      <c r="L36" s="3"/>
      <c r="M36" s="3"/>
      <c r="N36" s="3"/>
      <c r="O36" s="3"/>
      <c r="P36" s="3"/>
      <c r="Q36" s="3"/>
      <c r="R36" s="3"/>
      <c r="S36" s="3"/>
      <c r="T36" s="4"/>
      <c r="U36" s="4"/>
    </row>
    <row r="37" spans="1:21" ht="15.75" customHeight="1">
      <c r="A37" s="126" t="s">
        <v>134</v>
      </c>
      <c r="B37" s="73"/>
      <c r="C37" s="196">
        <f>'Soft Costs'!C43</f>
        <v>0.07</v>
      </c>
      <c r="D37" s="200" t="s">
        <v>135</v>
      </c>
      <c r="E37" s="497">
        <f>'Soft Costs'!K46</f>
        <v>1050000</v>
      </c>
      <c r="F37" s="108"/>
      <c r="G37" s="118" t="s">
        <v>136</v>
      </c>
      <c r="H37" s="23" t="s">
        <v>137</v>
      </c>
      <c r="I37" s="189">
        <v>0</v>
      </c>
      <c r="J37" s="109"/>
      <c r="K37" s="190"/>
      <c r="L37" s="3"/>
      <c r="M37" s="3"/>
      <c r="N37" s="3"/>
      <c r="O37" s="3"/>
      <c r="P37" s="3"/>
      <c r="Q37" s="3"/>
      <c r="R37" s="3"/>
      <c r="S37" s="3"/>
      <c r="T37" s="4"/>
      <c r="U37" s="4"/>
    </row>
    <row r="38" spans="1:21" ht="15.75" customHeight="1">
      <c r="A38" s="126" t="s">
        <v>138</v>
      </c>
      <c r="B38" s="73"/>
      <c r="C38" s="196">
        <f>E38/(E30+E32+E34)</f>
        <v>0.08230144609045376</v>
      </c>
      <c r="D38" s="124" t="s">
        <v>130</v>
      </c>
      <c r="E38" s="497">
        <f>'Soft Costs'!K66</f>
        <v>640035</v>
      </c>
      <c r="F38" s="108"/>
      <c r="G38" s="118" t="s">
        <v>139</v>
      </c>
      <c r="H38" s="198">
        <v>0</v>
      </c>
      <c r="I38" s="189">
        <f>-H38*'Soft Costs'!I33</f>
        <v>0</v>
      </c>
      <c r="J38" s="109"/>
      <c r="K38" s="4"/>
      <c r="L38" s="4"/>
      <c r="M38" s="4"/>
      <c r="N38" s="4"/>
      <c r="O38" s="4"/>
      <c r="P38" s="4"/>
      <c r="Q38" s="4"/>
      <c r="R38" s="3"/>
      <c r="S38" s="3"/>
      <c r="T38" s="4"/>
      <c r="U38" s="4"/>
    </row>
    <row r="39" spans="1:21" ht="15.75" customHeight="1">
      <c r="A39" s="126" t="s">
        <v>140</v>
      </c>
      <c r="B39" s="73"/>
      <c r="C39" s="196">
        <f>E39/(E30+E32+E34)</f>
        <v>0.002893251989399345</v>
      </c>
      <c r="D39" s="124" t="s">
        <v>130</v>
      </c>
      <c r="E39" s="197">
        <f>'Soft Costs'!K73</f>
        <v>22500</v>
      </c>
      <c r="F39" s="108"/>
      <c r="G39" s="118" t="s">
        <v>141</v>
      </c>
      <c r="H39" s="198">
        <v>0</v>
      </c>
      <c r="I39" s="189">
        <f>-H39*E43</f>
        <v>0</v>
      </c>
      <c r="J39" s="109"/>
      <c r="K39" s="4"/>
      <c r="L39" s="4"/>
      <c r="M39" s="4"/>
      <c r="N39" s="4"/>
      <c r="O39" s="4"/>
      <c r="P39" s="4"/>
      <c r="Q39" s="4"/>
      <c r="R39" s="3"/>
      <c r="S39" s="3"/>
      <c r="T39" s="4"/>
      <c r="U39" s="4"/>
    </row>
    <row r="40" spans="1:21" ht="15.75" customHeight="1">
      <c r="A40" s="383" t="s">
        <v>228</v>
      </c>
      <c r="B40" s="73"/>
      <c r="C40" s="196">
        <f>E40/(E28+E29+E32)</f>
        <v>0.002136752136752137</v>
      </c>
      <c r="D40" s="124" t="s">
        <v>130</v>
      </c>
      <c r="E40" s="197">
        <f>'Soft Costs'!K78</f>
        <v>5000</v>
      </c>
      <c r="F40" s="108"/>
      <c r="G40" s="118" t="s">
        <v>143</v>
      </c>
      <c r="H40" s="3"/>
      <c r="I40" s="201">
        <f>-H58-H54</f>
        <v>-3320000</v>
      </c>
      <c r="J40" s="445"/>
      <c r="K40" s="355"/>
      <c r="L40" s="355"/>
      <c r="M40" s="355"/>
      <c r="N40" s="355"/>
      <c r="O40" s="355"/>
      <c r="P40" s="4"/>
      <c r="Q40" s="4"/>
      <c r="R40" s="3"/>
      <c r="S40" s="3"/>
      <c r="T40" s="4"/>
      <c r="U40" s="4"/>
    </row>
    <row r="41" spans="1:21" ht="15.75" customHeight="1">
      <c r="A41" s="126" t="s">
        <v>142</v>
      </c>
      <c r="B41" s="73"/>
      <c r="C41" s="196">
        <f>E41/(E30+E32+E34)</f>
        <v>0.10504949937428787</v>
      </c>
      <c r="D41" s="124" t="s">
        <v>130</v>
      </c>
      <c r="E41" s="197">
        <f>'Soft Costs'!K88</f>
        <v>816940.157504973</v>
      </c>
      <c r="F41" s="122"/>
      <c r="G41" s="118" t="s">
        <v>145</v>
      </c>
      <c r="H41" s="444"/>
      <c r="I41" s="448">
        <f>SUM(I29:I40)</f>
        <v>-1502429.8384101354</v>
      </c>
      <c r="J41" s="449" t="s">
        <v>264</v>
      </c>
      <c r="K41" s="450"/>
      <c r="L41" s="3"/>
      <c r="M41" s="412"/>
      <c r="N41" s="355"/>
      <c r="O41" s="355"/>
      <c r="P41" s="4"/>
      <c r="Q41" s="4"/>
      <c r="R41" s="3"/>
      <c r="S41" s="3"/>
      <c r="T41" s="4"/>
      <c r="U41" s="4"/>
    </row>
    <row r="42" spans="1:21" ht="15.75" customHeight="1">
      <c r="A42" s="126" t="s">
        <v>144</v>
      </c>
      <c r="B42" s="73"/>
      <c r="C42" s="196">
        <f>E42/(E30+E32+E34)</f>
        <v>0.03413482370324069</v>
      </c>
      <c r="D42" s="124" t="s">
        <v>130</v>
      </c>
      <c r="E42" s="197">
        <f>'Soft Costs'!K98</f>
        <v>265456.841</v>
      </c>
      <c r="F42" s="202"/>
      <c r="G42" s="118" t="s">
        <v>147</v>
      </c>
      <c r="H42" s="3"/>
      <c r="I42" s="446">
        <f>E69</f>
        <v>695147.3316876638</v>
      </c>
      <c r="J42" s="447"/>
      <c r="K42" s="42"/>
      <c r="L42" s="42"/>
      <c r="M42" s="4"/>
      <c r="N42" s="4"/>
      <c r="O42" s="4"/>
      <c r="P42" s="4"/>
      <c r="Q42" s="4"/>
      <c r="R42" s="3"/>
      <c r="S42" s="3"/>
      <c r="T42" s="4"/>
      <c r="U42" s="4"/>
    </row>
    <row r="43" spans="1:21" ht="16.5" customHeight="1" thickBot="1">
      <c r="A43" s="203" t="s">
        <v>146</v>
      </c>
      <c r="B43" s="204"/>
      <c r="C43" s="205">
        <f>E43/(E30+E32+E34)</f>
        <v>0</v>
      </c>
      <c r="D43" s="206" t="s">
        <v>130</v>
      </c>
      <c r="E43" s="207">
        <f>'Soft Costs'!K108</f>
        <v>0</v>
      </c>
      <c r="F43" s="122"/>
      <c r="G43" s="118" t="s">
        <v>150</v>
      </c>
      <c r="H43" s="3"/>
      <c r="I43" s="187">
        <f>H26</f>
        <v>-506894.3671013562</v>
      </c>
      <c r="J43" s="352"/>
      <c r="K43" s="4"/>
      <c r="L43" s="4"/>
      <c r="M43" s="4"/>
      <c r="N43" s="4"/>
      <c r="O43" s="4"/>
      <c r="P43" s="4"/>
      <c r="Q43" s="4"/>
      <c r="R43" s="3"/>
      <c r="S43" s="3"/>
      <c r="T43" s="4"/>
      <c r="U43" s="4"/>
    </row>
    <row r="44" spans="1:21" ht="16.5" customHeight="1" thickBot="1">
      <c r="A44" s="208" t="s">
        <v>148</v>
      </c>
      <c r="B44" s="209"/>
      <c r="C44" s="210">
        <f>E44/E16</f>
        <v>78.3508137002568</v>
      </c>
      <c r="D44" s="211" t="s">
        <v>149</v>
      </c>
      <c r="E44" s="212">
        <f>SUM(E35:E43)</f>
        <v>3134502.652892473</v>
      </c>
      <c r="F44" s="108"/>
      <c r="G44" s="218"/>
      <c r="H44" s="219"/>
      <c r="I44" s="220"/>
      <c r="J44" s="353"/>
      <c r="K44" s="4"/>
      <c r="L44" s="4"/>
      <c r="M44" s="4"/>
      <c r="N44" s="4"/>
      <c r="O44" s="4"/>
      <c r="P44" s="4"/>
      <c r="Q44" s="4"/>
      <c r="R44" s="3"/>
      <c r="S44" s="3"/>
      <c r="T44" s="4"/>
      <c r="U44" s="4"/>
    </row>
    <row r="45" spans="1:21" ht="16.5" customHeight="1" thickBot="1">
      <c r="A45" s="213" t="s">
        <v>44</v>
      </c>
      <c r="B45" s="214"/>
      <c r="C45" s="215"/>
      <c r="D45" s="216"/>
      <c r="E45" s="359">
        <f>'Soft Costs'!K111</f>
        <v>31345.026528924733</v>
      </c>
      <c r="F45" s="217"/>
      <c r="G45" s="227" t="s">
        <v>152</v>
      </c>
      <c r="H45" s="228"/>
      <c r="I45" s="229">
        <f>SUM(I42:I44)</f>
        <v>188252.9645863076</v>
      </c>
      <c r="J45" s="353"/>
      <c r="K45" s="4"/>
      <c r="L45" s="4"/>
      <c r="M45" s="4"/>
      <c r="N45" s="4"/>
      <c r="O45" s="4"/>
      <c r="P45" s="4"/>
      <c r="Q45" s="4"/>
      <c r="R45" s="4"/>
      <c r="S45" s="4"/>
      <c r="T45" s="4"/>
      <c r="U45" s="4"/>
    </row>
    <row r="46" spans="1:21" ht="16.5" customHeight="1" thickBot="1">
      <c r="A46" s="221" t="s">
        <v>151</v>
      </c>
      <c r="B46" s="222"/>
      <c r="C46" s="223">
        <f>E46/E16</f>
        <v>334.7892981533119</v>
      </c>
      <c r="D46" s="224" t="s">
        <v>127</v>
      </c>
      <c r="E46" s="225">
        <f>SUM(E28:E34)+SUM(E44:E45)</f>
        <v>13393580.661921397</v>
      </c>
      <c r="F46" s="226"/>
      <c r="G46" s="233" t="s">
        <v>153</v>
      </c>
      <c r="H46" s="234" t="s">
        <v>43</v>
      </c>
      <c r="I46" s="87"/>
      <c r="J46" s="354"/>
      <c r="K46" s="4"/>
      <c r="L46" s="4"/>
      <c r="M46" s="4"/>
      <c r="N46" s="4"/>
      <c r="O46" s="4"/>
      <c r="P46" s="4"/>
      <c r="Q46" s="4"/>
      <c r="R46" s="4"/>
      <c r="S46" s="4"/>
      <c r="T46" s="4"/>
      <c r="U46" s="4"/>
    </row>
    <row r="47" spans="1:21" ht="16.5" customHeight="1">
      <c r="A47" s="83"/>
      <c r="B47" s="7"/>
      <c r="C47" s="230"/>
      <c r="D47" s="230"/>
      <c r="E47" s="231"/>
      <c r="F47" s="232"/>
      <c r="J47" s="235"/>
      <c r="K47" s="4"/>
      <c r="L47" s="4"/>
      <c r="M47" s="4"/>
      <c r="N47" s="4"/>
      <c r="O47" s="4"/>
      <c r="P47" s="4"/>
      <c r="Q47" s="4"/>
      <c r="R47" s="4"/>
      <c r="S47" s="4"/>
      <c r="T47" s="4"/>
      <c r="U47" s="4"/>
    </row>
    <row r="48" spans="1:21" ht="15.75" customHeight="1">
      <c r="A48" s="521" t="s">
        <v>154</v>
      </c>
      <c r="B48" s="522"/>
      <c r="C48" s="522"/>
      <c r="D48" s="522"/>
      <c r="E48" s="523"/>
      <c r="F48" s="217"/>
      <c r="G48" s="521" t="s">
        <v>155</v>
      </c>
      <c r="H48" s="522"/>
      <c r="I48" s="523"/>
      <c r="J48" s="162"/>
      <c r="K48" s="4"/>
      <c r="L48" s="4"/>
      <c r="M48" s="4"/>
      <c r="N48" s="4"/>
      <c r="O48" s="4"/>
      <c r="P48" s="4"/>
      <c r="Q48" s="4"/>
      <c r="R48" s="4"/>
      <c r="S48" s="4"/>
      <c r="T48" s="4"/>
      <c r="U48" s="4"/>
    </row>
    <row r="49" spans="1:21" ht="15.75" customHeight="1">
      <c r="A49" s="110" t="s">
        <v>156</v>
      </c>
      <c r="B49" s="17"/>
      <c r="C49" s="236">
        <f>B19</f>
        <v>30</v>
      </c>
      <c r="D49" s="111"/>
      <c r="E49" s="184">
        <f>E8*C49</f>
        <v>89310</v>
      </c>
      <c r="F49" s="217"/>
      <c r="G49" s="237"/>
      <c r="H49" s="238"/>
      <c r="I49" s="239" t="s">
        <v>157</v>
      </c>
      <c r="J49" s="240"/>
      <c r="K49" s="4"/>
      <c r="L49" s="4"/>
      <c r="M49" s="4"/>
      <c r="N49" s="4"/>
      <c r="O49" s="4"/>
      <c r="P49" s="4"/>
      <c r="Q49" s="4"/>
      <c r="R49" s="4"/>
      <c r="S49" s="4"/>
      <c r="T49" s="4"/>
      <c r="U49" s="4"/>
    </row>
    <row r="50" spans="1:21" ht="15.75" customHeight="1">
      <c r="A50" s="23" t="s">
        <v>238</v>
      </c>
      <c r="B50" s="3"/>
      <c r="C50" s="241">
        <f>B20</f>
        <v>30.091156245002402</v>
      </c>
      <c r="D50" s="3"/>
      <c r="E50" s="187">
        <f>C50*E9</f>
        <v>556800.0000000001</v>
      </c>
      <c r="F50" s="217"/>
      <c r="G50" s="242" t="s">
        <v>158</v>
      </c>
      <c r="H50" s="243">
        <f>-I35</f>
        <v>600000</v>
      </c>
      <c r="I50" s="257">
        <f>H50/(H50+H54+H58)</f>
        <v>0.15306122448979592</v>
      </c>
      <c r="J50" s="351">
        <f>O16*H50</f>
        <v>0</v>
      </c>
      <c r="K50" s="47"/>
      <c r="L50" s="47"/>
      <c r="M50" s="47"/>
      <c r="N50" s="47"/>
      <c r="O50" s="47"/>
      <c r="P50" s="47"/>
      <c r="Q50" s="47"/>
      <c r="R50" s="4"/>
      <c r="S50" s="4"/>
      <c r="T50" s="4"/>
      <c r="U50" s="4"/>
    </row>
    <row r="51" spans="1:21" ht="15.75" customHeight="1">
      <c r="A51" s="23" t="s">
        <v>269</v>
      </c>
      <c r="B51" s="3"/>
      <c r="C51" s="241">
        <f>B21</f>
        <v>0</v>
      </c>
      <c r="D51" s="3"/>
      <c r="E51" s="187">
        <f>C51*E10</f>
        <v>0</v>
      </c>
      <c r="F51" s="217"/>
      <c r="G51" s="459">
        <f>H50+(I50*I41)</f>
        <v>370036.24922293844</v>
      </c>
      <c r="H51" s="246">
        <v>2021</v>
      </c>
      <c r="I51" s="245" t="s">
        <v>357</v>
      </c>
      <c r="J51" s="246">
        <v>2023</v>
      </c>
      <c r="K51" s="246">
        <v>2024</v>
      </c>
      <c r="L51" s="245">
        <v>2025</v>
      </c>
      <c r="M51" s="246">
        <v>2026</v>
      </c>
      <c r="N51" s="246">
        <v>2027</v>
      </c>
      <c r="O51" s="247">
        <v>2028</v>
      </c>
      <c r="P51" s="247">
        <v>2029</v>
      </c>
      <c r="Q51" s="247">
        <v>2030</v>
      </c>
      <c r="R51" s="109"/>
      <c r="S51" s="4"/>
      <c r="T51" s="4"/>
      <c r="U51" s="4"/>
    </row>
    <row r="52" spans="1:21" ht="15.75" customHeight="1">
      <c r="A52" s="23" t="s">
        <v>270</v>
      </c>
      <c r="B52" s="3"/>
      <c r="C52" s="241">
        <f>B22</f>
        <v>20.067039820885974</v>
      </c>
      <c r="D52" s="3"/>
      <c r="E52" s="187">
        <f>E11*B22</f>
        <v>256079.99999999997</v>
      </c>
      <c r="F52" s="217"/>
      <c r="G52" s="248" t="s">
        <v>169</v>
      </c>
      <c r="H52" s="249">
        <f>H53/H50</f>
        <v>0</v>
      </c>
      <c r="I52" s="250">
        <v>0.04</v>
      </c>
      <c r="J52" s="251">
        <f>I52</f>
        <v>0.04</v>
      </c>
      <c r="K52" s="251">
        <f>J52</f>
        <v>0.04</v>
      </c>
      <c r="L52" s="251">
        <f>K52</f>
        <v>0.04</v>
      </c>
      <c r="M52" s="251">
        <f>M53/$G$51</f>
        <v>0.04592626706998439</v>
      </c>
      <c r="N52" s="251">
        <f>N53/$G$51</f>
        <v>0.04955475969251743</v>
      </c>
      <c r="O52" s="251">
        <f>O53/$G$51</f>
        <v>0.05321131858252239</v>
      </c>
      <c r="P52" s="251">
        <f>P53/$G$51</f>
        <v>0.056895169957799446</v>
      </c>
      <c r="Q52" s="252">
        <f>Q53/H50</f>
        <v>0.9771000637548607</v>
      </c>
      <c r="R52" s="109"/>
      <c r="S52" s="4"/>
      <c r="T52" s="4"/>
      <c r="U52" s="4"/>
    </row>
    <row r="53" spans="1:21" ht="15.75" customHeight="1">
      <c r="A53" s="23"/>
      <c r="B53" s="3"/>
      <c r="C53" s="241"/>
      <c r="D53" s="3"/>
      <c r="E53" s="187"/>
      <c r="F53" s="217"/>
      <c r="G53" s="253"/>
      <c r="H53" s="254">
        <v>0</v>
      </c>
      <c r="I53" s="255">
        <f>I52*H50*0.5</f>
        <v>12000</v>
      </c>
      <c r="J53" s="256">
        <f>J52*$G$51</f>
        <v>14801.449968917537</v>
      </c>
      <c r="K53" s="256">
        <f>K52*$G$51</f>
        <v>14801.449968917537</v>
      </c>
      <c r="L53" s="256">
        <f>L52*$G$51</f>
        <v>14801.449968917537</v>
      </c>
      <c r="M53" s="256">
        <f>$I$50*(M69-M78)</f>
        <v>16994.383607387976</v>
      </c>
      <c r="N53" s="256">
        <f>$I$50*(N69-N78)</f>
        <v>18337.057407763205</v>
      </c>
      <c r="O53" s="256">
        <f>$I$50*(O69-O78)</f>
        <v>19690.116744483432</v>
      </c>
      <c r="P53" s="256">
        <f>$I$50*(P69-P78)</f>
        <v>21053.275290085716</v>
      </c>
      <c r="Q53" s="256">
        <f>I50*(Q69+Q76)</f>
        <v>586260.0382529164</v>
      </c>
      <c r="R53" s="109"/>
      <c r="S53" s="4"/>
      <c r="T53" s="4"/>
      <c r="U53" s="4"/>
    </row>
    <row r="54" spans="1:21" ht="15.75" customHeight="1">
      <c r="A54" s="132" t="s">
        <v>170</v>
      </c>
      <c r="B54" s="3"/>
      <c r="C54" s="241"/>
      <c r="D54" s="128">
        <f>SUM(E49:E53)</f>
        <v>902190.0000000001</v>
      </c>
      <c r="E54" s="187"/>
      <c r="F54" s="350"/>
      <c r="G54" s="242" t="s">
        <v>274</v>
      </c>
      <c r="H54" s="243">
        <v>1800000</v>
      </c>
      <c r="I54" s="257">
        <f>H54/(H50+H54+H58)</f>
        <v>0.45918367346938777</v>
      </c>
      <c r="J54" s="351">
        <f>O16*H54</f>
        <v>0</v>
      </c>
      <c r="K54" s="258"/>
      <c r="L54" s="258"/>
      <c r="M54" s="259"/>
      <c r="N54" s="131"/>
      <c r="O54" s="131"/>
      <c r="P54" s="131"/>
      <c r="Q54" s="131"/>
      <c r="R54" s="4"/>
      <c r="S54" s="4"/>
      <c r="T54" s="4"/>
      <c r="U54" s="4"/>
    </row>
    <row r="55" spans="1:21" ht="15.75" customHeight="1">
      <c r="A55" s="162"/>
      <c r="B55" s="3"/>
      <c r="C55" s="260"/>
      <c r="D55" s="260"/>
      <c r="E55" s="187"/>
      <c r="F55" s="271"/>
      <c r="G55" s="459">
        <f>H54+(I54*I41)</f>
        <v>1110108.7476688153</v>
      </c>
      <c r="H55" s="246">
        <v>2021</v>
      </c>
      <c r="I55" s="245" t="s">
        <v>357</v>
      </c>
      <c r="J55" s="246">
        <v>2023</v>
      </c>
      <c r="K55" s="246">
        <v>2024</v>
      </c>
      <c r="L55" s="245">
        <v>2025</v>
      </c>
      <c r="M55" s="246">
        <v>2026</v>
      </c>
      <c r="N55" s="246">
        <v>2027</v>
      </c>
      <c r="O55" s="247">
        <v>2028</v>
      </c>
      <c r="P55" s="247">
        <v>2029</v>
      </c>
      <c r="Q55" s="247">
        <v>2030</v>
      </c>
      <c r="R55" s="109"/>
      <c r="S55" s="4"/>
      <c r="T55" s="4"/>
      <c r="U55" s="4"/>
    </row>
    <row r="56" spans="1:21" ht="15.75" customHeight="1">
      <c r="A56" s="118" t="s">
        <v>171</v>
      </c>
      <c r="B56" s="3"/>
      <c r="C56" s="260">
        <v>0.03</v>
      </c>
      <c r="D56" s="260"/>
      <c r="E56" s="187">
        <f>-C56*D54</f>
        <v>-27065.7</v>
      </c>
      <c r="F56" s="271"/>
      <c r="G56" s="261" t="s">
        <v>276</v>
      </c>
      <c r="H56" s="251">
        <f>H57/H54</f>
        <v>0</v>
      </c>
      <c r="I56" s="251">
        <f>I52</f>
        <v>0.04</v>
      </c>
      <c r="J56" s="251">
        <f>I56</f>
        <v>0.04</v>
      </c>
      <c r="K56" s="251">
        <f>J56</f>
        <v>0.04</v>
      </c>
      <c r="L56" s="251">
        <f>K56</f>
        <v>0.04</v>
      </c>
      <c r="M56" s="251">
        <f>M57/$G$55</f>
        <v>0.0459262670699844</v>
      </c>
      <c r="N56" s="251">
        <f>N57/$G$55</f>
        <v>0.04955475969251743</v>
      </c>
      <c r="O56" s="251">
        <f>O57/$G$55</f>
        <v>0.0532113185825224</v>
      </c>
      <c r="P56" s="251">
        <f>P57/$G$55</f>
        <v>0.056895169957799446</v>
      </c>
      <c r="Q56" s="252">
        <f>Q57/H54</f>
        <v>0.9771000637548607</v>
      </c>
      <c r="R56" s="109"/>
      <c r="S56" s="4"/>
      <c r="T56" s="4"/>
      <c r="U56" s="4"/>
    </row>
    <row r="57" spans="1:21" ht="15.75" customHeight="1">
      <c r="A57" s="244"/>
      <c r="B57" s="46"/>
      <c r="C57" s="262"/>
      <c r="D57" s="263"/>
      <c r="E57" s="264"/>
      <c r="F57" s="271"/>
      <c r="G57" s="265"/>
      <c r="H57" s="256">
        <v>0</v>
      </c>
      <c r="I57" s="256">
        <f>I56*H54*0.5</f>
        <v>36000</v>
      </c>
      <c r="J57" s="256">
        <f>J56*$G$55</f>
        <v>44404.34990675261</v>
      </c>
      <c r="K57" s="256">
        <f>K56*$G$55</f>
        <v>44404.34990675261</v>
      </c>
      <c r="L57" s="256">
        <f>L56*$G$55</f>
        <v>44404.34990675261</v>
      </c>
      <c r="M57" s="256">
        <f>$I$54*(M69-M78)</f>
        <v>50983.15082216393</v>
      </c>
      <c r="N57" s="256">
        <f>$I$54*(N69-N78)</f>
        <v>55011.17222328961</v>
      </c>
      <c r="O57" s="256">
        <f>$I$54*(O69-O78)</f>
        <v>59070.3502334503</v>
      </c>
      <c r="P57" s="256">
        <f>$I$54*(P69-P78)</f>
        <v>63159.82587025715</v>
      </c>
      <c r="Q57" s="256">
        <f>I54*(Q69+Q76)</f>
        <v>1758780.1147587493</v>
      </c>
      <c r="R57" s="266"/>
      <c r="S57" s="4"/>
      <c r="T57" s="4"/>
      <c r="U57" s="4"/>
    </row>
    <row r="58" spans="1:21" ht="15.75" customHeight="1">
      <c r="A58" s="110" t="s">
        <v>172</v>
      </c>
      <c r="B58" s="17"/>
      <c r="C58" s="121" t="s">
        <v>173</v>
      </c>
      <c r="D58" s="452">
        <v>-0.35</v>
      </c>
      <c r="E58" s="184">
        <f>D58*E16*C23</f>
        <v>-12784.757213363704</v>
      </c>
      <c r="F58" s="271"/>
      <c r="G58" s="242" t="s">
        <v>275</v>
      </c>
      <c r="H58" s="243">
        <f>1170000+350000</f>
        <v>1520000</v>
      </c>
      <c r="I58" s="257">
        <f>1-I50-I54</f>
        <v>0.38775510204081626</v>
      </c>
      <c r="J58" s="351">
        <f>O20*H58</f>
        <v>0</v>
      </c>
      <c r="K58" s="258"/>
      <c r="L58" s="258"/>
      <c r="M58" s="259"/>
      <c r="N58" s="131"/>
      <c r="O58" s="131"/>
      <c r="P58" s="131"/>
      <c r="Q58" s="131"/>
      <c r="U58" s="4"/>
    </row>
    <row r="59" spans="1:21" ht="15.75" customHeight="1">
      <c r="A59" s="118" t="s">
        <v>174</v>
      </c>
      <c r="B59" s="3"/>
      <c r="C59" s="404">
        <f>(E9+E10+E12)/E17</f>
        <v>0.5403824399919421</v>
      </c>
      <c r="D59" s="498">
        <f>-15000000*0.0085</f>
        <v>-127500.00000000001</v>
      </c>
      <c r="E59" s="184">
        <f>D59*C59</f>
        <v>-68898.76109897262</v>
      </c>
      <c r="F59" s="271"/>
      <c r="G59" s="459">
        <f>H58+(I58*I41)</f>
        <v>937425.1646981109</v>
      </c>
      <c r="H59" s="246">
        <v>2021</v>
      </c>
      <c r="I59" s="245" t="s">
        <v>357</v>
      </c>
      <c r="J59" s="246">
        <v>2023</v>
      </c>
      <c r="K59" s="246">
        <v>2024</v>
      </c>
      <c r="L59" s="245">
        <v>2025</v>
      </c>
      <c r="M59" s="246">
        <v>2026</v>
      </c>
      <c r="N59" s="246">
        <v>2027</v>
      </c>
      <c r="O59" s="247">
        <v>2028</v>
      </c>
      <c r="P59" s="247">
        <v>2029</v>
      </c>
      <c r="Q59" s="247">
        <v>2030</v>
      </c>
      <c r="U59" s="4"/>
    </row>
    <row r="60" spans="1:21" ht="15.75" customHeight="1">
      <c r="A60" s="118" t="s">
        <v>175</v>
      </c>
      <c r="B60" s="3"/>
      <c r="C60" s="124" t="s">
        <v>173</v>
      </c>
      <c r="D60" s="403">
        <v>1550</v>
      </c>
      <c r="E60" s="402">
        <f>D60*-12</f>
        <v>-18600</v>
      </c>
      <c r="F60" s="271"/>
      <c r="G60" s="261" t="s">
        <v>276</v>
      </c>
      <c r="H60" s="251">
        <f>H61/H58</f>
        <v>0</v>
      </c>
      <c r="I60" s="251">
        <f>I52</f>
        <v>0.04</v>
      </c>
      <c r="J60" s="251">
        <f>I60</f>
        <v>0.04</v>
      </c>
      <c r="K60" s="251">
        <f>J60</f>
        <v>0.04</v>
      </c>
      <c r="L60" s="251">
        <f>K60</f>
        <v>0.04</v>
      </c>
      <c r="M60" s="251">
        <f>M61/$G$59</f>
        <v>0.04592626706998437</v>
      </c>
      <c r="N60" s="251">
        <f>N61/$G$59</f>
        <v>0.049554759692517415</v>
      </c>
      <c r="O60" s="251">
        <f>O61/$G$59</f>
        <v>0.05321131858252238</v>
      </c>
      <c r="P60" s="251">
        <f>P61/$G$59</f>
        <v>0.056895169957799425</v>
      </c>
      <c r="Q60" s="251">
        <f>Q61/$H$58</f>
        <v>0.9771000637548605</v>
      </c>
      <c r="U60" s="4"/>
    </row>
    <row r="61" spans="1:21" ht="15.75" customHeight="1">
      <c r="A61" s="274" t="s">
        <v>217</v>
      </c>
      <c r="B61" s="46" t="s">
        <v>218</v>
      </c>
      <c r="C61" s="275"/>
      <c r="D61" s="3"/>
      <c r="E61" s="264">
        <v>0</v>
      </c>
      <c r="F61" s="108"/>
      <c r="G61" s="265"/>
      <c r="H61" s="256">
        <v>0</v>
      </c>
      <c r="I61" s="256">
        <f>I60*H58*0.5</f>
        <v>30400</v>
      </c>
      <c r="J61" s="256">
        <f>J60*$G$59</f>
        <v>37497.006587924436</v>
      </c>
      <c r="K61" s="256">
        <f>K60*$G$59</f>
        <v>37497.006587924436</v>
      </c>
      <c r="L61" s="256">
        <f>L60*$G$59</f>
        <v>37497.006587924436</v>
      </c>
      <c r="M61" s="256">
        <f>$I$58*(M69-M78)</f>
        <v>43052.43847204953</v>
      </c>
      <c r="N61" s="256">
        <f>$I$58*(N69-N78)</f>
        <v>46453.878766333444</v>
      </c>
      <c r="O61" s="256">
        <f>$I$58*(O69-O78)</f>
        <v>49881.62908602469</v>
      </c>
      <c r="P61" s="256">
        <f>$I$58*(P69-P78)</f>
        <v>53334.96406821714</v>
      </c>
      <c r="Q61" s="256">
        <f>I58*(Q69+Q76)</f>
        <v>1485192.096907388</v>
      </c>
      <c r="U61" s="4"/>
    </row>
    <row r="62" spans="1:21" ht="15.75" customHeight="1">
      <c r="A62" s="110" t="s">
        <v>177</v>
      </c>
      <c r="B62" s="17"/>
      <c r="C62" s="279">
        <v>0.01</v>
      </c>
      <c r="D62" s="279"/>
      <c r="E62" s="280">
        <f>-(C62*SUM(E49:E55))</f>
        <v>-9021.900000000001</v>
      </c>
      <c r="F62" s="108"/>
      <c r="G62" s="267"/>
      <c r="H62" s="131"/>
      <c r="I62" s="131"/>
      <c r="J62" s="131"/>
      <c r="K62" s="131"/>
      <c r="L62" s="131"/>
      <c r="M62" s="131"/>
      <c r="N62" s="131"/>
      <c r="O62" s="131"/>
      <c r="P62" s="131"/>
      <c r="Q62" s="131"/>
      <c r="R62" s="268"/>
      <c r="S62" s="4"/>
      <c r="T62" s="4"/>
      <c r="U62" s="4"/>
    </row>
    <row r="63" spans="1:21" ht="15.75" customHeight="1">
      <c r="A63" s="118" t="s">
        <v>178</v>
      </c>
      <c r="B63" s="3"/>
      <c r="C63" s="260">
        <v>0.02</v>
      </c>
      <c r="D63" s="260"/>
      <c r="E63" s="283">
        <f>-(C63*SUM(E49:E55))</f>
        <v>-18043.800000000003</v>
      </c>
      <c r="F63" s="108"/>
      <c r="G63" s="54"/>
      <c r="H63" s="246" t="s">
        <v>159</v>
      </c>
      <c r="I63" s="246" t="s">
        <v>160</v>
      </c>
      <c r="J63" s="246" t="s">
        <v>161</v>
      </c>
      <c r="K63" s="246" t="s">
        <v>162</v>
      </c>
      <c r="L63" s="246" t="s">
        <v>163</v>
      </c>
      <c r="M63" s="246" t="s">
        <v>164</v>
      </c>
      <c r="N63" s="246" t="s">
        <v>165</v>
      </c>
      <c r="O63" s="246" t="s">
        <v>166</v>
      </c>
      <c r="P63" s="246" t="s">
        <v>167</v>
      </c>
      <c r="Q63" s="247" t="s">
        <v>168</v>
      </c>
      <c r="R63" s="269"/>
      <c r="S63" s="270"/>
      <c r="T63" s="4"/>
      <c r="U63" s="4"/>
    </row>
    <row r="64" spans="1:21" ht="15.75" customHeight="1">
      <c r="A64" s="162"/>
      <c r="B64" s="3"/>
      <c r="C64" s="138"/>
      <c r="D64" s="260"/>
      <c r="E64" s="187"/>
      <c r="F64" s="108"/>
      <c r="G64" s="272" t="s">
        <v>231</v>
      </c>
      <c r="H64" s="273">
        <v>0</v>
      </c>
      <c r="I64" s="273">
        <f>D54*0.33</f>
        <v>297722.70000000007</v>
      </c>
      <c r="J64" s="273">
        <f>D54*1.02</f>
        <v>920233.8000000002</v>
      </c>
      <c r="K64" s="273">
        <f aca="true" t="shared" si="0" ref="K64:Q64">J64*102%</f>
        <v>938638.4760000001</v>
      </c>
      <c r="L64" s="273">
        <f t="shared" si="0"/>
        <v>957411.2455200001</v>
      </c>
      <c r="M64" s="273">
        <f t="shared" si="0"/>
        <v>976559.4704304001</v>
      </c>
      <c r="N64" s="273">
        <f t="shared" si="0"/>
        <v>996090.6598390081</v>
      </c>
      <c r="O64" s="273">
        <f t="shared" si="0"/>
        <v>1016012.4730357883</v>
      </c>
      <c r="P64" s="273">
        <f t="shared" si="0"/>
        <v>1036332.7224965041</v>
      </c>
      <c r="Q64" s="273">
        <f t="shared" si="0"/>
        <v>1057059.3769464341</v>
      </c>
      <c r="R64" s="269"/>
      <c r="S64" s="270"/>
      <c r="T64" s="4"/>
      <c r="U64" s="4"/>
    </row>
    <row r="65" spans="1:21" ht="16.5" customHeight="1" thickBot="1">
      <c r="A65" s="218" t="s">
        <v>242</v>
      </c>
      <c r="B65" s="67"/>
      <c r="C65" s="285">
        <v>0.07</v>
      </c>
      <c r="D65" s="187">
        <f>C65*-D54</f>
        <v>-63153.30000000002</v>
      </c>
      <c r="E65" s="220">
        <f>D65/6*5</f>
        <v>-52627.750000000015</v>
      </c>
      <c r="F65" s="108"/>
      <c r="G65" s="276" t="s">
        <v>176</v>
      </c>
      <c r="H65" s="277">
        <v>0</v>
      </c>
      <c r="I65" s="277">
        <f>E66*0.25</f>
        <v>-51760.66707808408</v>
      </c>
      <c r="J65" s="277">
        <f>E66*1.03</f>
        <v>-213253.94836170643</v>
      </c>
      <c r="K65" s="277">
        <f aca="true" t="shared" si="1" ref="K65:Q65">J65*103%</f>
        <v>-219651.56681255763</v>
      </c>
      <c r="L65" s="277">
        <f t="shared" si="1"/>
        <v>-226241.11381693438</v>
      </c>
      <c r="M65" s="277">
        <f t="shared" si="1"/>
        <v>-233028.3472314424</v>
      </c>
      <c r="N65" s="277">
        <f t="shared" si="1"/>
        <v>-240019.19764838569</v>
      </c>
      <c r="O65" s="277">
        <f t="shared" si="1"/>
        <v>-247219.77357783727</v>
      </c>
      <c r="P65" s="277">
        <f t="shared" si="1"/>
        <v>-254636.3667851724</v>
      </c>
      <c r="Q65" s="277">
        <f t="shared" si="1"/>
        <v>-262275.4577887276</v>
      </c>
      <c r="R65" s="269"/>
      <c r="S65" s="278"/>
      <c r="T65" s="4"/>
      <c r="U65" s="4"/>
    </row>
    <row r="66" spans="1:21" ht="16.5" customHeight="1" thickBot="1">
      <c r="A66" s="287" t="s">
        <v>181</v>
      </c>
      <c r="B66" s="288"/>
      <c r="C66" s="289">
        <f>-(E66/D54)</f>
        <v>0.22948898603657356</v>
      </c>
      <c r="D66" s="289"/>
      <c r="E66" s="290">
        <f>SUM(E56:E65)</f>
        <v>-207042.66831233632</v>
      </c>
      <c r="F66" s="108"/>
      <c r="G66" s="281"/>
      <c r="H66" s="282"/>
      <c r="I66" s="282"/>
      <c r="J66" s="282"/>
      <c r="K66" s="282"/>
      <c r="L66" s="282"/>
      <c r="M66" s="282"/>
      <c r="N66" s="282"/>
      <c r="O66" s="282"/>
      <c r="P66" s="282"/>
      <c r="Q66" s="282"/>
      <c r="R66" s="269"/>
      <c r="S66" s="4"/>
      <c r="T66" s="4"/>
      <c r="U66" s="4"/>
    </row>
    <row r="67" spans="1:21" ht="16.5" customHeight="1">
      <c r="A67" s="291" t="s">
        <v>220</v>
      </c>
      <c r="B67" s="292"/>
      <c r="C67" s="107">
        <f>B13</f>
        <v>49</v>
      </c>
      <c r="D67" s="361">
        <f>C67*E67</f>
        <v>-203350</v>
      </c>
      <c r="E67" s="362">
        <v>-4150</v>
      </c>
      <c r="F67" s="108"/>
      <c r="G67" s="272" t="s">
        <v>179</v>
      </c>
      <c r="H67" s="273">
        <f aca="true" t="shared" si="2" ref="H67:Q67">SUM(H64:H66)</f>
        <v>0</v>
      </c>
      <c r="I67" s="273">
        <f>SUM(I64:I66)</f>
        <v>245962.032921916</v>
      </c>
      <c r="J67" s="273">
        <f t="shared" si="2"/>
        <v>706979.8516382937</v>
      </c>
      <c r="K67" s="273">
        <f t="shared" si="2"/>
        <v>718986.9091874425</v>
      </c>
      <c r="L67" s="273">
        <f t="shared" si="2"/>
        <v>731170.1317030657</v>
      </c>
      <c r="M67" s="273">
        <f t="shared" si="2"/>
        <v>743531.1231989576</v>
      </c>
      <c r="N67" s="273">
        <f t="shared" si="2"/>
        <v>756071.4621906225</v>
      </c>
      <c r="O67" s="273">
        <f t="shared" si="2"/>
        <v>768792.699457951</v>
      </c>
      <c r="P67" s="273">
        <f t="shared" si="2"/>
        <v>781696.3557113317</v>
      </c>
      <c r="Q67" s="273">
        <f t="shared" si="2"/>
        <v>794783.9191577066</v>
      </c>
      <c r="R67" s="269"/>
      <c r="S67" s="4"/>
      <c r="T67" s="4"/>
      <c r="U67" s="4"/>
    </row>
    <row r="68" spans="1:21" ht="16.5" customHeight="1" thickBot="1">
      <c r="A68" s="296"/>
      <c r="B68" s="67"/>
      <c r="C68" s="297"/>
      <c r="D68" s="297"/>
      <c r="E68" s="220"/>
      <c r="F68" s="109"/>
      <c r="G68" s="284" t="s">
        <v>180</v>
      </c>
      <c r="H68" s="282">
        <f>-H57</f>
        <v>0</v>
      </c>
      <c r="I68" s="282">
        <f>I43*0.25</f>
        <v>-126723.59177533905</v>
      </c>
      <c r="J68" s="282">
        <f>I43</f>
        <v>-506894.3671013562</v>
      </c>
      <c r="K68" s="282">
        <f aca="true" t="shared" si="3" ref="K68:Q68">J68</f>
        <v>-506894.3671013562</v>
      </c>
      <c r="L68" s="282">
        <f t="shared" si="3"/>
        <v>-506894.3671013562</v>
      </c>
      <c r="M68" s="282">
        <f t="shared" si="3"/>
        <v>-506894.3671013562</v>
      </c>
      <c r="N68" s="282">
        <f t="shared" si="3"/>
        <v>-506894.3671013562</v>
      </c>
      <c r="O68" s="282">
        <f t="shared" si="3"/>
        <v>-506894.3671013562</v>
      </c>
      <c r="P68" s="282">
        <f t="shared" si="3"/>
        <v>-506894.3671013562</v>
      </c>
      <c r="Q68" s="282">
        <f t="shared" si="3"/>
        <v>-506894.3671013562</v>
      </c>
      <c r="R68" s="232"/>
      <c r="S68" s="4"/>
      <c r="T68" s="4"/>
      <c r="U68" s="4"/>
    </row>
    <row r="69" spans="1:21" ht="16.5" customHeight="1" thickBot="1">
      <c r="A69" s="221" t="s">
        <v>147</v>
      </c>
      <c r="B69" s="298"/>
      <c r="C69" s="299"/>
      <c r="D69" s="299"/>
      <c r="E69" s="300">
        <f>SUM(E49:E65)</f>
        <v>695147.3316876638</v>
      </c>
      <c r="F69" s="301"/>
      <c r="G69" s="272" t="s">
        <v>152</v>
      </c>
      <c r="H69" s="273">
        <v>0</v>
      </c>
      <c r="I69" s="273">
        <f>I67+I68</f>
        <v>119238.44114657694</v>
      </c>
      <c r="J69" s="273">
        <f aca="true" t="shared" si="4" ref="J69:Q69">J67+J68</f>
        <v>200085.4845369375</v>
      </c>
      <c r="K69" s="273">
        <f t="shared" si="4"/>
        <v>212092.5420860863</v>
      </c>
      <c r="L69" s="273">
        <f t="shared" si="4"/>
        <v>224275.7646017095</v>
      </c>
      <c r="M69" s="273">
        <f t="shared" si="4"/>
        <v>236636.75609760144</v>
      </c>
      <c r="N69" s="273">
        <f t="shared" si="4"/>
        <v>249177.09508926625</v>
      </c>
      <c r="O69" s="273">
        <f t="shared" si="4"/>
        <v>261898.3323565948</v>
      </c>
      <c r="P69" s="273">
        <f t="shared" si="4"/>
        <v>274801.9886099755</v>
      </c>
      <c r="Q69" s="273">
        <f t="shared" si="4"/>
        <v>287889.55205635034</v>
      </c>
      <c r="R69" s="286"/>
      <c r="S69" s="4"/>
      <c r="T69" s="4"/>
      <c r="U69" s="4"/>
    </row>
    <row r="70" spans="1:21" ht="16.5" customHeight="1">
      <c r="A70" s="107"/>
      <c r="B70" s="107"/>
      <c r="C70" s="107"/>
      <c r="D70" s="107"/>
      <c r="E70" s="107"/>
      <c r="F70" s="304"/>
      <c r="G70" s="284"/>
      <c r="H70" s="357"/>
      <c r="I70" s="357">
        <f>'Soft Costs'!I84</f>
        <v>0</v>
      </c>
      <c r="J70" s="357"/>
      <c r="K70" s="357"/>
      <c r="L70" s="357"/>
      <c r="M70" s="357"/>
      <c r="N70" s="357"/>
      <c r="O70" s="357"/>
      <c r="P70" s="357"/>
      <c r="Q70" s="356"/>
      <c r="R70" s="109"/>
      <c r="S70" s="4"/>
      <c r="T70" s="4"/>
      <c r="U70" s="4"/>
    </row>
    <row r="71" spans="1:21" ht="15.75" customHeight="1">
      <c r="A71" s="4"/>
      <c r="B71" s="4"/>
      <c r="C71" s="4"/>
      <c r="D71" s="4"/>
      <c r="E71" s="4"/>
      <c r="F71" s="304"/>
      <c r="G71" s="293" t="s">
        <v>182</v>
      </c>
      <c r="H71" s="294">
        <v>0</v>
      </c>
      <c r="I71" s="295">
        <f aca="true" t="shared" si="5" ref="I71:Q71">-I67/I68</f>
        <v>1.9409332506765424</v>
      </c>
      <c r="J71" s="295">
        <f t="shared" si="5"/>
        <v>1.3947281672927514</v>
      </c>
      <c r="K71" s="295">
        <f t="shared" si="5"/>
        <v>1.4184156618250154</v>
      </c>
      <c r="L71" s="295">
        <f t="shared" si="5"/>
        <v>1.442450694183517</v>
      </c>
      <c r="M71" s="295">
        <f t="shared" si="5"/>
        <v>1.4668364287628484</v>
      </c>
      <c r="N71" s="295">
        <f t="shared" si="5"/>
        <v>1.4915759796546368</v>
      </c>
      <c r="O71" s="295">
        <f t="shared" si="5"/>
        <v>1.5166724062337564</v>
      </c>
      <c r="P71" s="295">
        <f t="shared" si="5"/>
        <v>1.5421287085540396</v>
      </c>
      <c r="Q71" s="295">
        <f t="shared" si="5"/>
        <v>1.5679478225465964</v>
      </c>
      <c r="R71" s="109"/>
      <c r="S71" s="4"/>
      <c r="T71" s="4"/>
      <c r="U71" s="4"/>
    </row>
    <row r="72" spans="1:21" ht="15.75" customHeight="1">
      <c r="A72" s="4"/>
      <c r="B72" s="4"/>
      <c r="C72" s="4"/>
      <c r="D72" s="4"/>
      <c r="E72" s="4"/>
      <c r="F72" s="304"/>
      <c r="G72" s="391" t="s">
        <v>234</v>
      </c>
      <c r="H72" s="131"/>
      <c r="I72" s="392">
        <f>I69-I61-I57-I53</f>
        <v>40838.44114657694</v>
      </c>
      <c r="J72" s="392">
        <f>J69-J61-J57-J53</f>
        <v>103382.6780733429</v>
      </c>
      <c r="K72" s="392">
        <f aca="true" t="shared" si="6" ref="K72:P72">K69-K61-K57-K53</f>
        <v>115389.7356224917</v>
      </c>
      <c r="L72" s="392">
        <f t="shared" si="6"/>
        <v>127572.9581381149</v>
      </c>
      <c r="M72" s="392">
        <f t="shared" si="6"/>
        <v>125606.78319599997</v>
      </c>
      <c r="N72" s="392">
        <f t="shared" si="6"/>
        <v>129374.98669187998</v>
      </c>
      <c r="O72" s="392">
        <f t="shared" si="6"/>
        <v>133256.23629263637</v>
      </c>
      <c r="P72" s="392">
        <f t="shared" si="6"/>
        <v>137253.9233814155</v>
      </c>
      <c r="Q72" s="131" t="s">
        <v>367</v>
      </c>
      <c r="R72" s="4"/>
      <c r="S72" s="4"/>
      <c r="T72" s="4"/>
      <c r="U72" s="4"/>
    </row>
    <row r="73" spans="1:21" ht="15.75" customHeight="1">
      <c r="A73" s="4"/>
      <c r="B73" s="4"/>
      <c r="C73" s="4"/>
      <c r="D73" s="4"/>
      <c r="E73" s="4"/>
      <c r="F73" s="4"/>
      <c r="G73" s="293" t="s">
        <v>183</v>
      </c>
      <c r="H73" s="302">
        <f>I20</f>
        <v>14634680.66710871</v>
      </c>
      <c r="I73" s="302">
        <f aca="true" t="shared" si="7" ref="I73:Q73">H73*1.03</f>
        <v>15073721.087121973</v>
      </c>
      <c r="J73" s="302">
        <f t="shared" si="7"/>
        <v>15525932.719735632</v>
      </c>
      <c r="K73" s="302">
        <f t="shared" si="7"/>
        <v>15991710.7013277</v>
      </c>
      <c r="L73" s="302">
        <f t="shared" si="7"/>
        <v>16471462.022367531</v>
      </c>
      <c r="M73" s="302">
        <f t="shared" si="7"/>
        <v>16965605.883038558</v>
      </c>
      <c r="N73" s="302">
        <f t="shared" si="7"/>
        <v>17474574.059529714</v>
      </c>
      <c r="O73" s="302">
        <f t="shared" si="7"/>
        <v>17998811.281315606</v>
      </c>
      <c r="P73" s="302">
        <f t="shared" si="7"/>
        <v>18538775.619755074</v>
      </c>
      <c r="Q73" s="303">
        <f t="shared" si="7"/>
        <v>19094938.888347726</v>
      </c>
      <c r="R73" s="109"/>
      <c r="S73" s="4"/>
      <c r="T73" s="4"/>
      <c r="U73" s="4"/>
    </row>
    <row r="74" spans="1:21" ht="15.75" customHeight="1">
      <c r="A74" s="4"/>
      <c r="B74" s="4"/>
      <c r="C74" s="4"/>
      <c r="D74" s="4"/>
      <c r="E74" s="4"/>
      <c r="F74" s="4"/>
      <c r="G74" s="272" t="s">
        <v>184</v>
      </c>
      <c r="H74" s="305"/>
      <c r="I74" s="58"/>
      <c r="J74" s="58"/>
      <c r="K74" s="58"/>
      <c r="L74" s="58"/>
      <c r="M74" s="58"/>
      <c r="N74" s="58"/>
      <c r="O74" s="58"/>
      <c r="P74" s="306"/>
      <c r="Q74" s="303">
        <f>Q73*0.93</f>
        <v>17758293.166163385</v>
      </c>
      <c r="R74" s="109"/>
      <c r="S74" s="4"/>
      <c r="T74" s="4"/>
      <c r="U74" s="4"/>
    </row>
    <row r="75" spans="1:21" ht="15.75" customHeight="1">
      <c r="A75" s="4"/>
      <c r="B75" s="4"/>
      <c r="C75" s="4"/>
      <c r="D75" s="4"/>
      <c r="E75" s="4"/>
      <c r="F75" s="304"/>
      <c r="G75" s="284" t="s">
        <v>185</v>
      </c>
      <c r="H75" s="398"/>
      <c r="I75" s="39"/>
      <c r="J75" s="39"/>
      <c r="K75" s="39"/>
      <c r="L75" s="39"/>
      <c r="M75" s="39"/>
      <c r="N75" s="39"/>
      <c r="O75" s="39"/>
      <c r="P75" s="399"/>
      <c r="Q75" s="303">
        <f>H25/0.97*0.9099</f>
        <v>10295950.468300682</v>
      </c>
      <c r="R75" s="109"/>
      <c r="S75" s="4"/>
      <c r="T75" s="4"/>
      <c r="U75" s="4"/>
    </row>
    <row r="76" spans="1:21" ht="15.75" customHeight="1">
      <c r="A76" s="4"/>
      <c r="B76" s="4"/>
      <c r="C76" s="4"/>
      <c r="D76" s="4"/>
      <c r="E76" s="4"/>
      <c r="F76" s="304"/>
      <c r="G76" s="396" t="s">
        <v>186</v>
      </c>
      <c r="H76" s="308" t="s">
        <v>366</v>
      </c>
      <c r="I76" s="390">
        <f>E20</f>
        <v>1600</v>
      </c>
      <c r="J76" s="390">
        <f>I76*1.03</f>
        <v>1648</v>
      </c>
      <c r="K76" s="390">
        <f aca="true" t="shared" si="8" ref="K76:P76">J76*1.03</f>
        <v>1697.44</v>
      </c>
      <c r="L76" s="390">
        <f t="shared" si="8"/>
        <v>1748.3632</v>
      </c>
      <c r="M76" s="390">
        <f t="shared" si="8"/>
        <v>1800.814096</v>
      </c>
      <c r="N76" s="390">
        <f t="shared" si="8"/>
        <v>1854.83851888</v>
      </c>
      <c r="O76" s="390">
        <f t="shared" si="8"/>
        <v>1910.4836744464</v>
      </c>
      <c r="P76" s="390">
        <f t="shared" si="8"/>
        <v>1967.798184679792</v>
      </c>
      <c r="Q76" s="397">
        <f>Q74-Q75-H50-H54-H58</f>
        <v>3542342.6978627034</v>
      </c>
      <c r="R76" s="109" t="s">
        <v>278</v>
      </c>
      <c r="S76" s="4"/>
      <c r="T76" s="4"/>
      <c r="U76" s="4"/>
    </row>
    <row r="77" spans="1:21" ht="15.75" customHeight="1" thickBot="1">
      <c r="A77" s="4"/>
      <c r="B77" s="4"/>
      <c r="C77" s="4"/>
      <c r="D77" s="4"/>
      <c r="E77" s="4"/>
      <c r="F77" s="411"/>
      <c r="G77" s="410"/>
      <c r="H77" s="27" t="s">
        <v>232</v>
      </c>
      <c r="I77" s="507">
        <v>825</v>
      </c>
      <c r="J77" s="507">
        <f>I77*1.03</f>
        <v>849.75</v>
      </c>
      <c r="K77" s="507">
        <f aca="true" t="shared" si="9" ref="K77:P77">J77*1.03</f>
        <v>875.2425000000001</v>
      </c>
      <c r="L77" s="507">
        <f t="shared" si="9"/>
        <v>901.4997750000001</v>
      </c>
      <c r="M77" s="507">
        <f t="shared" si="9"/>
        <v>928.5447682500002</v>
      </c>
      <c r="N77" s="507">
        <f t="shared" si="9"/>
        <v>956.4011112975002</v>
      </c>
      <c r="O77" s="507">
        <f t="shared" si="9"/>
        <v>985.0931446364252</v>
      </c>
      <c r="P77" s="507">
        <f t="shared" si="9"/>
        <v>1014.645938975518</v>
      </c>
      <c r="Q77" s="412"/>
      <c r="R77" s="355"/>
      <c r="S77" s="355"/>
      <c r="T77" s="4"/>
      <c r="U77" s="4"/>
    </row>
    <row r="78" spans="1:21" ht="15.75" customHeight="1" thickBot="1">
      <c r="A78" s="4"/>
      <c r="B78" s="4"/>
      <c r="C78" s="4"/>
      <c r="D78" s="4"/>
      <c r="E78" s="4"/>
      <c r="F78" s="411"/>
      <c r="G78" s="410"/>
      <c r="H78" s="509" t="s">
        <v>233</v>
      </c>
      <c r="I78" s="510">
        <f>(I76-I77)*12*I79</f>
        <v>37200</v>
      </c>
      <c r="J78" s="510">
        <f>(J76-J77)*J79*12</f>
        <v>105369</v>
      </c>
      <c r="K78" s="510">
        <f aca="true" t="shared" si="10" ref="K78:P78">(K76-K77)*K79*12</f>
        <v>118396.43999999999</v>
      </c>
      <c r="L78" s="510">
        <f t="shared" si="10"/>
        <v>121948.33319999998</v>
      </c>
      <c r="M78" s="510">
        <f>(M76-M77)*M79*12</f>
        <v>125606.78319599999</v>
      </c>
      <c r="N78" s="510">
        <f t="shared" si="10"/>
        <v>129374.98669187998</v>
      </c>
      <c r="O78" s="510">
        <f t="shared" si="10"/>
        <v>133256.23629263637</v>
      </c>
      <c r="P78" s="510">
        <f t="shared" si="10"/>
        <v>137253.9233814155</v>
      </c>
      <c r="Q78" s="511">
        <f>SUM(I78:P78)</f>
        <v>908405.7027619318</v>
      </c>
      <c r="R78" s="499" t="s">
        <v>363</v>
      </c>
      <c r="S78" s="500"/>
      <c r="T78" s="36"/>
      <c r="U78" s="4"/>
    </row>
    <row r="79" spans="1:21" ht="15.75" customHeight="1">
      <c r="A79" s="4"/>
      <c r="B79" s="4"/>
      <c r="C79" s="4"/>
      <c r="D79" s="4"/>
      <c r="E79" s="4"/>
      <c r="F79" s="4"/>
      <c r="G79" s="501" t="s">
        <v>364</v>
      </c>
      <c r="H79" s="508"/>
      <c r="I79" s="508">
        <v>4</v>
      </c>
      <c r="J79" s="508">
        <v>11</v>
      </c>
      <c r="K79" s="508">
        <v>12</v>
      </c>
      <c r="L79" s="508">
        <v>12</v>
      </c>
      <c r="M79" s="508">
        <v>12</v>
      </c>
      <c r="N79" s="508">
        <f>M79</f>
        <v>12</v>
      </c>
      <c r="O79" s="508">
        <f>N79</f>
        <v>12</v>
      </c>
      <c r="P79" s="508">
        <f>O79</f>
        <v>12</v>
      </c>
      <c r="Q79" s="512"/>
      <c r="R79" s="514"/>
      <c r="S79" s="425"/>
      <c r="T79" s="355"/>
      <c r="U79" s="4"/>
    </row>
    <row r="80" spans="2:21" ht="15" customHeight="1">
      <c r="B80" s="4"/>
      <c r="C80" s="4"/>
      <c r="D80" s="4"/>
      <c r="E80" s="4"/>
      <c r="F80" s="4"/>
      <c r="G80" s="502">
        <f>-G51-G55-G59</f>
        <v>-2417570.1615898646</v>
      </c>
      <c r="H80" s="503">
        <v>0</v>
      </c>
      <c r="I80" s="504">
        <f>I69-I78</f>
        <v>82038.44114657694</v>
      </c>
      <c r="J80" s="504">
        <f>J69-J78</f>
        <v>94716.4845369375</v>
      </c>
      <c r="K80" s="504">
        <f aca="true" t="shared" si="11" ref="K80:P80">K69-K78</f>
        <v>93696.1020860863</v>
      </c>
      <c r="L80" s="504">
        <f t="shared" si="11"/>
        <v>102327.43140170952</v>
      </c>
      <c r="M80" s="504">
        <f t="shared" si="11"/>
        <v>111029.97290160145</v>
      </c>
      <c r="N80" s="504">
        <f t="shared" si="11"/>
        <v>119802.10839738627</v>
      </c>
      <c r="O80" s="504">
        <f t="shared" si="11"/>
        <v>128642.09606395842</v>
      </c>
      <c r="P80" s="504">
        <f t="shared" si="11"/>
        <v>137548.06522856</v>
      </c>
      <c r="Q80" s="513">
        <f>Q82</f>
        <v>3830232.2499190536</v>
      </c>
      <c r="R80" s="400"/>
      <c r="S80" s="4"/>
      <c r="T80" s="4"/>
      <c r="U80" s="4"/>
    </row>
    <row r="81" spans="2:21" ht="15.75" customHeight="1">
      <c r="B81" s="4"/>
      <c r="C81" s="4"/>
      <c r="D81" s="4"/>
      <c r="E81" s="4"/>
      <c r="F81" s="4"/>
      <c r="G81" s="413" t="s">
        <v>365</v>
      </c>
      <c r="H81" s="414">
        <f>IRR(G80:Q80)</f>
        <v>0.07587017613026492</v>
      </c>
      <c r="I81" s="415"/>
      <c r="J81" s="41"/>
      <c r="K81" s="41"/>
      <c r="L81" s="41"/>
      <c r="M81" s="41"/>
      <c r="N81" s="41"/>
      <c r="O81" s="41"/>
      <c r="P81" s="41"/>
      <c r="Q81" s="416"/>
      <c r="R81" s="4"/>
      <c r="S81" s="4"/>
      <c r="T81" s="4"/>
      <c r="U81" s="4"/>
    </row>
    <row r="82" spans="2:21" ht="15.75" customHeight="1">
      <c r="B82" s="4"/>
      <c r="C82" s="4"/>
      <c r="D82" s="4"/>
      <c r="E82" s="4"/>
      <c r="F82" s="4"/>
      <c r="G82" s="307">
        <f>-H50-H54-H58-I41</f>
        <v>-2417570.1615898646</v>
      </c>
      <c r="H82" s="390">
        <f aca="true" t="shared" si="12" ref="H82:P82">H69</f>
        <v>0</v>
      </c>
      <c r="I82" s="390">
        <f>I69</f>
        <v>119238.44114657694</v>
      </c>
      <c r="J82" s="390">
        <f t="shared" si="12"/>
        <v>200085.4845369375</v>
      </c>
      <c r="K82" s="390">
        <f t="shared" si="12"/>
        <v>212092.5420860863</v>
      </c>
      <c r="L82" s="390">
        <f t="shared" si="12"/>
        <v>224275.7646017095</v>
      </c>
      <c r="M82" s="390">
        <f t="shared" si="12"/>
        <v>236636.75609760144</v>
      </c>
      <c r="N82" s="390">
        <f t="shared" si="12"/>
        <v>249177.09508926625</v>
      </c>
      <c r="O82" s="390">
        <f t="shared" si="12"/>
        <v>261898.3323565948</v>
      </c>
      <c r="P82" s="390">
        <f t="shared" si="12"/>
        <v>274801.9886099755</v>
      </c>
      <c r="Q82" s="390">
        <f>Q69+Q76</f>
        <v>3830232.2499190536</v>
      </c>
      <c r="R82" s="109"/>
      <c r="S82" s="4"/>
      <c r="T82" s="4"/>
      <c r="U82" s="4"/>
    </row>
    <row r="83" spans="7:21" ht="15.75" customHeight="1">
      <c r="G83" s="505" t="s">
        <v>187</v>
      </c>
      <c r="H83" s="506">
        <f>IRR(G82:Q82)</f>
        <v>0.10508941128198579</v>
      </c>
      <c r="I83" s="308"/>
      <c r="J83" s="308"/>
      <c r="K83" s="308"/>
      <c r="L83" s="308"/>
      <c r="M83" s="308"/>
      <c r="N83" s="308"/>
      <c r="O83" s="308"/>
      <c r="P83" s="308"/>
      <c r="Q83" s="309"/>
      <c r="R83" s="109"/>
      <c r="S83" s="4"/>
      <c r="T83" s="4"/>
      <c r="U83" s="4"/>
    </row>
    <row r="84" spans="1:21" ht="15.75" customHeight="1">
      <c r="A84" s="405" t="s">
        <v>188</v>
      </c>
      <c r="B84" s="406"/>
      <c r="C84" s="406"/>
      <c r="D84" s="406"/>
      <c r="E84" s="406"/>
      <c r="F84" s="4"/>
      <c r="G84" s="73"/>
      <c r="H84" s="3"/>
      <c r="I84" s="3"/>
      <c r="J84" s="4"/>
      <c r="K84" s="4"/>
      <c r="L84" s="4"/>
      <c r="M84" s="4"/>
      <c r="N84" s="4"/>
      <c r="O84" s="4"/>
      <c r="P84" s="4"/>
      <c r="Q84" s="4"/>
      <c r="R84" s="4"/>
      <c r="S84" s="4"/>
      <c r="T84" s="4"/>
      <c r="U84" s="4"/>
    </row>
    <row r="85" spans="1:21" ht="15.75" customHeight="1">
      <c r="A85" s="407" t="s">
        <v>189</v>
      </c>
      <c r="B85" s="406"/>
      <c r="C85" s="406"/>
      <c r="D85" s="406"/>
      <c r="E85" s="406"/>
      <c r="F85" s="4"/>
      <c r="G85" s="190"/>
      <c r="H85" s="310"/>
      <c r="I85" s="235"/>
      <c r="J85" s="4"/>
      <c r="K85" s="4"/>
      <c r="L85" s="4"/>
      <c r="M85" s="4"/>
      <c r="N85" s="4"/>
      <c r="O85" s="4"/>
      <c r="P85" s="4"/>
      <c r="Q85" s="4"/>
      <c r="R85" s="4"/>
      <c r="S85" s="4"/>
      <c r="T85" s="4"/>
      <c r="U85" s="4"/>
    </row>
    <row r="86" spans="1:5" ht="12.75" customHeight="1">
      <c r="A86" s="407" t="s">
        <v>190</v>
      </c>
      <c r="B86" s="383"/>
      <c r="C86" s="383"/>
      <c r="D86" s="383"/>
      <c r="E86" s="383"/>
    </row>
    <row r="87" spans="1:5" ht="12.75" customHeight="1">
      <c r="A87" s="407" t="s">
        <v>191</v>
      </c>
      <c r="B87" s="383"/>
      <c r="C87" s="383"/>
      <c r="D87" s="383"/>
      <c r="E87" s="383"/>
    </row>
    <row r="88" spans="1:5" ht="12.75" customHeight="1">
      <c r="A88" s="408" t="s">
        <v>244</v>
      </c>
      <c r="B88" s="383"/>
      <c r="C88" s="383"/>
      <c r="D88" s="383"/>
      <c r="E88" s="383"/>
    </row>
  </sheetData>
  <sheetProtection/>
  <mergeCells count="9">
    <mergeCell ref="A27:E27"/>
    <mergeCell ref="A5:E5"/>
    <mergeCell ref="A3:I3"/>
    <mergeCell ref="A1:I1"/>
    <mergeCell ref="A48:E48"/>
    <mergeCell ref="G48:I48"/>
    <mergeCell ref="G28:I28"/>
    <mergeCell ref="G14:I14"/>
    <mergeCell ref="G5:I5"/>
  </mergeCells>
  <printOptions/>
  <pageMargins left="0.75" right="0.75" top="1" bottom="1" header="0.5" footer="0.5"/>
  <pageSetup fitToHeight="1" fitToWidth="1" horizontalDpi="600" verticalDpi="600" orientation="landscape" paperSize="3" scale="44"/>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J377"/>
  <sheetViews>
    <sheetView showGridLines="0" zoomScalePageLayoutView="0" workbookViewId="0" topLeftCell="A1">
      <selection activeCell="A1" sqref="A1:D1"/>
    </sheetView>
  </sheetViews>
  <sheetFormatPr defaultColWidth="6.59765625" defaultRowHeight="12.75" customHeight="1"/>
  <cols>
    <col min="1" max="1" width="6.59765625" style="1" customWidth="1"/>
    <col min="2" max="2" width="8" style="1" customWidth="1"/>
    <col min="3" max="3" width="11" style="1" customWidth="1"/>
    <col min="4" max="4" width="10.09765625" style="1" customWidth="1"/>
    <col min="5" max="5" width="7.09765625" style="1" customWidth="1"/>
    <col min="6" max="6" width="10.8984375" style="1" customWidth="1"/>
    <col min="7" max="7" width="10" style="1" customWidth="1"/>
    <col min="8" max="8" width="10.3984375" style="1" customWidth="1"/>
    <col min="9" max="9" width="11" style="1" customWidth="1"/>
    <col min="10" max="10" width="10.09765625" style="1" customWidth="1"/>
    <col min="11" max="16384" width="6.59765625" style="1" customWidth="1"/>
  </cols>
  <sheetData>
    <row r="1" spans="1:10" ht="21.75" customHeight="1">
      <c r="A1" s="529" t="s">
        <v>192</v>
      </c>
      <c r="B1" s="530"/>
      <c r="C1" s="530"/>
      <c r="D1" s="531"/>
      <c r="E1" s="311"/>
      <c r="F1" s="311"/>
      <c r="G1" s="311"/>
      <c r="H1" s="311"/>
      <c r="I1" s="311"/>
      <c r="J1" s="311"/>
    </row>
    <row r="2" spans="1:10" ht="16.5" customHeight="1">
      <c r="A2" s="312"/>
      <c r="B2" s="313"/>
      <c r="C2" s="313"/>
      <c r="D2" s="313"/>
      <c r="E2" s="313"/>
      <c r="F2" s="313"/>
      <c r="G2" s="313"/>
      <c r="H2" s="313"/>
      <c r="I2" s="313"/>
      <c r="J2" s="313"/>
    </row>
    <row r="3" spans="1:10" ht="16.5" customHeight="1">
      <c r="A3" s="314"/>
      <c r="B3" s="315"/>
      <c r="C3" s="315"/>
      <c r="D3" s="315"/>
      <c r="E3" s="316"/>
      <c r="F3" s="315"/>
      <c r="G3" s="315"/>
      <c r="H3" s="315"/>
      <c r="I3" s="316"/>
      <c r="J3" s="316"/>
    </row>
    <row r="4" spans="1:10" ht="16.5" customHeight="1">
      <c r="A4" s="317"/>
      <c r="B4" s="526" t="s">
        <v>193</v>
      </c>
      <c r="C4" s="527"/>
      <c r="D4" s="528"/>
      <c r="E4" s="318"/>
      <c r="F4" s="526" t="s">
        <v>194</v>
      </c>
      <c r="G4" s="527"/>
      <c r="H4" s="528"/>
      <c r="I4" s="319"/>
      <c r="J4" s="311"/>
    </row>
    <row r="5" spans="1:10" ht="16.5" customHeight="1">
      <c r="A5" s="317"/>
      <c r="B5" s="320"/>
      <c r="C5" s="321" t="s">
        <v>195</v>
      </c>
      <c r="D5" s="322">
        <f>-'pro forma'!I32</f>
        <v>10976010.500331532</v>
      </c>
      <c r="E5" s="318"/>
      <c r="F5" s="320"/>
      <c r="G5" s="321" t="s">
        <v>196</v>
      </c>
      <c r="H5" s="323"/>
      <c r="I5" s="324"/>
      <c r="J5" s="311"/>
    </row>
    <row r="6" spans="1:10" ht="16.5" customHeight="1">
      <c r="A6" s="317"/>
      <c r="B6" s="325"/>
      <c r="C6" s="326" t="s">
        <v>197</v>
      </c>
      <c r="D6" s="327">
        <f>'pro forma'!H17</f>
        <v>0.03</v>
      </c>
      <c r="E6" s="318"/>
      <c r="F6" s="325"/>
      <c r="G6" s="326" t="s">
        <v>198</v>
      </c>
      <c r="H6" s="328"/>
      <c r="I6" s="329"/>
      <c r="J6" s="311"/>
    </row>
    <row r="7" spans="1:10" ht="16.5" customHeight="1">
      <c r="A7" s="317"/>
      <c r="B7" s="325"/>
      <c r="C7" s="326" t="s">
        <v>199</v>
      </c>
      <c r="D7" s="328">
        <f>'pro forma'!H18</f>
        <v>35</v>
      </c>
      <c r="E7" s="318"/>
      <c r="F7" s="325"/>
      <c r="G7" s="326" t="s">
        <v>200</v>
      </c>
      <c r="H7" s="328"/>
      <c r="I7" s="329"/>
      <c r="J7" s="311"/>
    </row>
    <row r="8" spans="1:10" ht="16.5" customHeight="1">
      <c r="A8" s="317"/>
      <c r="B8" s="325"/>
      <c r="C8" s="326" t="s">
        <v>201</v>
      </c>
      <c r="D8" s="328">
        <v>12</v>
      </c>
      <c r="E8" s="318"/>
      <c r="F8" s="325"/>
      <c r="G8" s="326" t="s">
        <v>202</v>
      </c>
      <c r="H8" s="323"/>
      <c r="I8" s="324"/>
      <c r="J8" s="311"/>
    </row>
    <row r="9" spans="1:10" ht="16.5" customHeight="1">
      <c r="A9" s="317"/>
      <c r="B9" s="325"/>
      <c r="C9" s="326" t="s">
        <v>203</v>
      </c>
      <c r="D9" s="330">
        <v>39448</v>
      </c>
      <c r="E9" s="318"/>
      <c r="F9" s="331"/>
      <c r="G9" s="332" t="s">
        <v>204</v>
      </c>
      <c r="H9" s="323"/>
      <c r="I9" s="324"/>
      <c r="J9" s="311"/>
    </row>
    <row r="10" spans="1:10" ht="16.5" customHeight="1">
      <c r="A10" s="317"/>
      <c r="B10" s="331"/>
      <c r="C10" s="332" t="s">
        <v>205</v>
      </c>
      <c r="D10" s="323">
        <v>0</v>
      </c>
      <c r="E10" s="333"/>
      <c r="F10" s="316"/>
      <c r="G10" s="316"/>
      <c r="H10" s="316"/>
      <c r="I10" s="334"/>
      <c r="J10" s="311"/>
    </row>
    <row r="11" spans="1:10" ht="16.5" customHeight="1">
      <c r="A11" s="311"/>
      <c r="B11" s="316"/>
      <c r="C11" s="315"/>
      <c r="D11" s="315"/>
      <c r="E11" s="334"/>
      <c r="F11" s="334"/>
      <c r="G11" s="334"/>
      <c r="H11" s="334"/>
      <c r="I11" s="334"/>
      <c r="J11" s="334"/>
    </row>
    <row r="12" spans="1:10" ht="16.5" customHeight="1">
      <c r="A12" s="311"/>
      <c r="B12" s="335" t="s">
        <v>206</v>
      </c>
      <c r="C12" s="524"/>
      <c r="D12" s="525"/>
      <c r="E12" s="336"/>
      <c r="F12" s="334"/>
      <c r="G12" s="334"/>
      <c r="H12" s="334"/>
      <c r="I12" s="334"/>
      <c r="J12" s="334"/>
    </row>
    <row r="13" spans="1:10" ht="16.5" customHeight="1">
      <c r="A13" s="311"/>
      <c r="B13" s="337"/>
      <c r="C13" s="314"/>
      <c r="D13" s="314"/>
      <c r="E13" s="334"/>
      <c r="F13" s="334"/>
      <c r="G13" s="334"/>
      <c r="H13" s="334"/>
      <c r="I13" s="334"/>
      <c r="J13" s="334"/>
    </row>
    <row r="14" spans="1:10" ht="16.5" customHeight="1">
      <c r="A14" s="312"/>
      <c r="B14" s="313"/>
      <c r="C14" s="313"/>
      <c r="D14" s="313"/>
      <c r="E14" s="313"/>
      <c r="F14" s="313"/>
      <c r="G14" s="313"/>
      <c r="H14" s="313"/>
      <c r="I14" s="313"/>
      <c r="J14" s="313"/>
    </row>
    <row r="15" spans="1:10" ht="16.5" customHeight="1">
      <c r="A15" s="314"/>
      <c r="B15" s="316"/>
      <c r="C15" s="316"/>
      <c r="D15" s="316"/>
      <c r="E15" s="316"/>
      <c r="F15" s="316"/>
      <c r="G15" s="316"/>
      <c r="H15" s="316"/>
      <c r="I15" s="316"/>
      <c r="J15" s="316"/>
    </row>
    <row r="16" spans="1:10" ht="27.75" customHeight="1">
      <c r="A16" s="338" t="s">
        <v>207</v>
      </c>
      <c r="B16" s="339" t="s">
        <v>208</v>
      </c>
      <c r="C16" s="339" t="s">
        <v>209</v>
      </c>
      <c r="D16" s="339" t="s">
        <v>210</v>
      </c>
      <c r="E16" s="339" t="s">
        <v>211</v>
      </c>
      <c r="F16" s="339" t="s">
        <v>212</v>
      </c>
      <c r="G16" s="339" t="s">
        <v>213</v>
      </c>
      <c r="H16" s="339" t="s">
        <v>214</v>
      </c>
      <c r="I16" s="339" t="s">
        <v>215</v>
      </c>
      <c r="J16" s="339" t="s">
        <v>216</v>
      </c>
    </row>
    <row r="17" spans="1:10" ht="15" customHeight="1">
      <c r="A17" s="340"/>
      <c r="B17" s="341"/>
      <c r="C17" s="341"/>
      <c r="D17" s="341"/>
      <c r="E17" s="341"/>
      <c r="F17" s="341"/>
      <c r="G17" s="341"/>
      <c r="H17" s="341"/>
      <c r="I17" s="341"/>
      <c r="J17" s="341"/>
    </row>
    <row r="18" spans="1:10" ht="15" customHeight="1">
      <c r="A18" s="342"/>
      <c r="B18" s="343">
        <f aca="true" t="shared" si="0" ref="B18:B81">IF($A$18:$A$377&lt;&gt;"",DATE(YEAR($D$9),MONTH($D$9)+($A$18:$A$377)*12/$D$8,DAY($D$9)),"")</f>
      </c>
      <c r="C18" s="344"/>
      <c r="D18" s="343">
        <f aca="true" t="shared" si="1" ref="D18:D81">IF($A$18:$A$377&lt;&gt;"",$H$5,"")</f>
      </c>
      <c r="E18" s="344" t="e">
        <f aca="true" t="shared" si="2" ref="E18:E81">IF(AND($A$18:$A$377&lt;&gt;"",$D$18:$D$377+$D$10&lt;$C$18:$C$377),$D$10,IF(AND($A$18:$A$377&lt;&gt;"",$C$18:$C$377-$D$18:$D$377&gt;0),$C$18:$C$377-$D$18:$D$377,IF($A$18:$A$377&lt;&gt;"",0,"")))</f>
        <v>#VALUE!</v>
      </c>
      <c r="F18" s="344" t="e">
        <f aca="true" t="shared" si="3" ref="F18:F81">IF(AND($A$18:$A$377&lt;&gt;"",$D$18:$D$377+$E$18:$E$377&lt;$C$18:$C$377),$D$18:$D$377+$E$18:$E$377,IF($A$18:$A$377&lt;&gt;"",$C$18:$C$377,""))</f>
        <v>#VALUE!</v>
      </c>
      <c r="G18" s="343">
        <f aca="true" t="shared" si="4" ref="G18:G81">IF($A$18:$A$377&lt;&gt;"",$F$18:$F$377-$H$18:$H$377,"")</f>
      </c>
      <c r="H18" s="343">
        <f>IF($A$18:$A$377&lt;&gt;"",$C$18:$C$377*($D$6/$D$8),"")</f>
      </c>
      <c r="I18" s="344" t="e">
        <f aca="true" t="shared" si="5" ref="I18:I81">IF(AND($A$18:$A$377&lt;&gt;"",$D$18:$D$377+$E$18:$E$377&lt;$C$18:$C$377),$C$18:$C$377-$G$18:$G$377,IF($A$18:$A$377&lt;&gt;"",0,""))</f>
        <v>#VALUE!</v>
      </c>
      <c r="J18" s="344">
        <f>SUM($H$18:$H18)</f>
        <v>0</v>
      </c>
    </row>
    <row r="19" spans="1:10" ht="15" customHeight="1">
      <c r="A19" s="345"/>
      <c r="B19" s="346">
        <f t="shared" si="0"/>
      </c>
      <c r="C19" s="346">
        <f aca="true" t="shared" si="6" ref="C19:C82">IF($A$18:$A$377&lt;&gt;"",I18,"")</f>
      </c>
      <c r="D19" s="346">
        <f t="shared" si="1"/>
      </c>
      <c r="E19" s="347" t="e">
        <f t="shared" si="2"/>
        <v>#VALUE!</v>
      </c>
      <c r="F19" s="348" t="e">
        <f t="shared" si="3"/>
        <v>#VALUE!</v>
      </c>
      <c r="G19" s="346">
        <f t="shared" si="4"/>
      </c>
      <c r="H19" s="346">
        <f aca="true" t="shared" si="7" ref="H19:H82">IF($A$18:$A$377&lt;&gt;"",$C$18:$C$377*$D$6/$D$8,"")</f>
      </c>
      <c r="I19" s="348" t="e">
        <f t="shared" si="5"/>
        <v>#VALUE!</v>
      </c>
      <c r="J19" s="348">
        <f>SUM($H$18:$H19)</f>
        <v>0</v>
      </c>
    </row>
    <row r="20" spans="1:10" ht="15" customHeight="1">
      <c r="A20" s="349"/>
      <c r="B20" s="346">
        <f t="shared" si="0"/>
      </c>
      <c r="C20" s="346">
        <f t="shared" si="6"/>
      </c>
      <c r="D20" s="346">
        <f t="shared" si="1"/>
      </c>
      <c r="E20" s="347" t="e">
        <f t="shared" si="2"/>
        <v>#VALUE!</v>
      </c>
      <c r="F20" s="348" t="e">
        <f t="shared" si="3"/>
        <v>#VALUE!</v>
      </c>
      <c r="G20" s="346">
        <f t="shared" si="4"/>
      </c>
      <c r="H20" s="346">
        <f t="shared" si="7"/>
      </c>
      <c r="I20" s="348" t="e">
        <f t="shared" si="5"/>
        <v>#VALUE!</v>
      </c>
      <c r="J20" s="348">
        <f>SUM($H$18:$H20)</f>
        <v>0</v>
      </c>
    </row>
    <row r="21" spans="1:10" ht="15" customHeight="1">
      <c r="A21" s="349"/>
      <c r="B21" s="346">
        <f t="shared" si="0"/>
      </c>
      <c r="C21" s="346">
        <f t="shared" si="6"/>
      </c>
      <c r="D21" s="346">
        <f t="shared" si="1"/>
      </c>
      <c r="E21" s="347" t="e">
        <f t="shared" si="2"/>
        <v>#VALUE!</v>
      </c>
      <c r="F21" s="348" t="e">
        <f t="shared" si="3"/>
        <v>#VALUE!</v>
      </c>
      <c r="G21" s="346">
        <f t="shared" si="4"/>
      </c>
      <c r="H21" s="346">
        <f t="shared" si="7"/>
      </c>
      <c r="I21" s="348" t="e">
        <f t="shared" si="5"/>
        <v>#VALUE!</v>
      </c>
      <c r="J21" s="348">
        <f>SUM($H$18:$H21)</f>
        <v>0</v>
      </c>
    </row>
    <row r="22" spans="1:10" ht="15" customHeight="1">
      <c r="A22" s="349"/>
      <c r="B22" s="346">
        <f t="shared" si="0"/>
      </c>
      <c r="C22" s="346">
        <f t="shared" si="6"/>
      </c>
      <c r="D22" s="346">
        <f t="shared" si="1"/>
      </c>
      <c r="E22" s="347" t="e">
        <f t="shared" si="2"/>
        <v>#VALUE!</v>
      </c>
      <c r="F22" s="348" t="e">
        <f t="shared" si="3"/>
        <v>#VALUE!</v>
      </c>
      <c r="G22" s="346">
        <f t="shared" si="4"/>
      </c>
      <c r="H22" s="346">
        <f t="shared" si="7"/>
      </c>
      <c r="I22" s="348" t="e">
        <f t="shared" si="5"/>
        <v>#VALUE!</v>
      </c>
      <c r="J22" s="348">
        <f>SUM($H$18:$H22)</f>
        <v>0</v>
      </c>
    </row>
    <row r="23" spans="1:10" ht="15" customHeight="1">
      <c r="A23" s="349"/>
      <c r="B23" s="346">
        <f t="shared" si="0"/>
      </c>
      <c r="C23" s="346">
        <f t="shared" si="6"/>
      </c>
      <c r="D23" s="346">
        <f t="shared" si="1"/>
      </c>
      <c r="E23" s="347" t="e">
        <f t="shared" si="2"/>
        <v>#VALUE!</v>
      </c>
      <c r="F23" s="348" t="e">
        <f t="shared" si="3"/>
        <v>#VALUE!</v>
      </c>
      <c r="G23" s="346">
        <f t="shared" si="4"/>
      </c>
      <c r="H23" s="346">
        <f t="shared" si="7"/>
      </c>
      <c r="I23" s="348" t="e">
        <f t="shared" si="5"/>
        <v>#VALUE!</v>
      </c>
      <c r="J23" s="348">
        <f>SUM($H$18:$H23)</f>
        <v>0</v>
      </c>
    </row>
    <row r="24" spans="1:10" ht="15" customHeight="1">
      <c r="A24" s="349"/>
      <c r="B24" s="346">
        <f t="shared" si="0"/>
      </c>
      <c r="C24" s="346">
        <f t="shared" si="6"/>
      </c>
      <c r="D24" s="346">
        <f t="shared" si="1"/>
      </c>
      <c r="E24" s="347" t="e">
        <f t="shared" si="2"/>
        <v>#VALUE!</v>
      </c>
      <c r="F24" s="348" t="e">
        <f t="shared" si="3"/>
        <v>#VALUE!</v>
      </c>
      <c r="G24" s="346">
        <f t="shared" si="4"/>
      </c>
      <c r="H24" s="346">
        <f t="shared" si="7"/>
      </c>
      <c r="I24" s="348" t="e">
        <f t="shared" si="5"/>
        <v>#VALUE!</v>
      </c>
      <c r="J24" s="348">
        <f>SUM($H$18:$H24)</f>
        <v>0</v>
      </c>
    </row>
    <row r="25" spans="1:10" ht="15" customHeight="1">
      <c r="A25" s="349"/>
      <c r="B25" s="346">
        <f t="shared" si="0"/>
      </c>
      <c r="C25" s="346">
        <f t="shared" si="6"/>
      </c>
      <c r="D25" s="346">
        <f t="shared" si="1"/>
      </c>
      <c r="E25" s="347" t="e">
        <f t="shared" si="2"/>
        <v>#VALUE!</v>
      </c>
      <c r="F25" s="348" t="e">
        <f t="shared" si="3"/>
        <v>#VALUE!</v>
      </c>
      <c r="G25" s="346">
        <f t="shared" si="4"/>
      </c>
      <c r="H25" s="346">
        <f t="shared" si="7"/>
      </c>
      <c r="I25" s="348" t="e">
        <f t="shared" si="5"/>
        <v>#VALUE!</v>
      </c>
      <c r="J25" s="348">
        <f>SUM($H$18:$H25)</f>
        <v>0</v>
      </c>
    </row>
    <row r="26" spans="1:10" ht="15" customHeight="1">
      <c r="A26" s="349"/>
      <c r="B26" s="346">
        <f t="shared" si="0"/>
      </c>
      <c r="C26" s="346">
        <f t="shared" si="6"/>
      </c>
      <c r="D26" s="346">
        <f t="shared" si="1"/>
      </c>
      <c r="E26" s="347" t="e">
        <f t="shared" si="2"/>
        <v>#VALUE!</v>
      </c>
      <c r="F26" s="348" t="e">
        <f t="shared" si="3"/>
        <v>#VALUE!</v>
      </c>
      <c r="G26" s="346">
        <f t="shared" si="4"/>
      </c>
      <c r="H26" s="346">
        <f t="shared" si="7"/>
      </c>
      <c r="I26" s="348" t="e">
        <f t="shared" si="5"/>
        <v>#VALUE!</v>
      </c>
      <c r="J26" s="348">
        <f>SUM($H$18:$H26)</f>
        <v>0</v>
      </c>
    </row>
    <row r="27" spans="1:10" ht="15" customHeight="1">
      <c r="A27" s="349"/>
      <c r="B27" s="346">
        <f t="shared" si="0"/>
      </c>
      <c r="C27" s="346">
        <f t="shared" si="6"/>
      </c>
      <c r="D27" s="346">
        <f t="shared" si="1"/>
      </c>
      <c r="E27" s="347" t="e">
        <f t="shared" si="2"/>
        <v>#VALUE!</v>
      </c>
      <c r="F27" s="348" t="e">
        <f t="shared" si="3"/>
        <v>#VALUE!</v>
      </c>
      <c r="G27" s="346">
        <f t="shared" si="4"/>
      </c>
      <c r="H27" s="346">
        <f t="shared" si="7"/>
      </c>
      <c r="I27" s="348" t="e">
        <f t="shared" si="5"/>
        <v>#VALUE!</v>
      </c>
      <c r="J27" s="348">
        <f>SUM($H$18:$H27)</f>
        <v>0</v>
      </c>
    </row>
    <row r="28" spans="1:10" ht="15" customHeight="1">
      <c r="A28" s="349"/>
      <c r="B28" s="346">
        <f t="shared" si="0"/>
      </c>
      <c r="C28" s="346">
        <f t="shared" si="6"/>
      </c>
      <c r="D28" s="346">
        <f t="shared" si="1"/>
      </c>
      <c r="E28" s="347" t="e">
        <f t="shared" si="2"/>
        <v>#VALUE!</v>
      </c>
      <c r="F28" s="348" t="e">
        <f t="shared" si="3"/>
        <v>#VALUE!</v>
      </c>
      <c r="G28" s="346">
        <f t="shared" si="4"/>
      </c>
      <c r="H28" s="346">
        <f t="shared" si="7"/>
      </c>
      <c r="I28" s="348" t="e">
        <f t="shared" si="5"/>
        <v>#VALUE!</v>
      </c>
      <c r="J28" s="348">
        <f>SUM($H$18:$H28)</f>
        <v>0</v>
      </c>
    </row>
    <row r="29" spans="1:10" ht="15" customHeight="1">
      <c r="A29" s="349"/>
      <c r="B29" s="346">
        <f t="shared" si="0"/>
      </c>
      <c r="C29" s="346">
        <f t="shared" si="6"/>
      </c>
      <c r="D29" s="346">
        <f t="shared" si="1"/>
      </c>
      <c r="E29" s="347" t="e">
        <f t="shared" si="2"/>
        <v>#VALUE!</v>
      </c>
      <c r="F29" s="348" t="e">
        <f t="shared" si="3"/>
        <v>#VALUE!</v>
      </c>
      <c r="G29" s="346">
        <f t="shared" si="4"/>
      </c>
      <c r="H29" s="346">
        <f t="shared" si="7"/>
      </c>
      <c r="I29" s="348" t="e">
        <f t="shared" si="5"/>
        <v>#VALUE!</v>
      </c>
      <c r="J29" s="348">
        <f>SUM($H$18:$H29)</f>
        <v>0</v>
      </c>
    </row>
    <row r="30" spans="1:10" ht="15" customHeight="1">
      <c r="A30" s="349"/>
      <c r="B30" s="346">
        <f t="shared" si="0"/>
      </c>
      <c r="C30" s="346">
        <f t="shared" si="6"/>
      </c>
      <c r="D30" s="346">
        <f t="shared" si="1"/>
      </c>
      <c r="E30" s="347" t="e">
        <f t="shared" si="2"/>
        <v>#VALUE!</v>
      </c>
      <c r="F30" s="348" t="e">
        <f t="shared" si="3"/>
        <v>#VALUE!</v>
      </c>
      <c r="G30" s="346">
        <f t="shared" si="4"/>
      </c>
      <c r="H30" s="346">
        <f t="shared" si="7"/>
      </c>
      <c r="I30" s="348" t="e">
        <f t="shared" si="5"/>
        <v>#VALUE!</v>
      </c>
      <c r="J30" s="348">
        <f>SUM($H$18:$H30)</f>
        <v>0</v>
      </c>
    </row>
    <row r="31" spans="1:10" ht="15" customHeight="1">
      <c r="A31" s="349"/>
      <c r="B31" s="346">
        <f t="shared" si="0"/>
      </c>
      <c r="C31" s="346">
        <f t="shared" si="6"/>
      </c>
      <c r="D31" s="346">
        <f t="shared" si="1"/>
      </c>
      <c r="E31" s="347" t="e">
        <f t="shared" si="2"/>
        <v>#VALUE!</v>
      </c>
      <c r="F31" s="348" t="e">
        <f t="shared" si="3"/>
        <v>#VALUE!</v>
      </c>
      <c r="G31" s="346">
        <f t="shared" si="4"/>
      </c>
      <c r="H31" s="346">
        <f t="shared" si="7"/>
      </c>
      <c r="I31" s="348" t="e">
        <f t="shared" si="5"/>
        <v>#VALUE!</v>
      </c>
      <c r="J31" s="348">
        <f>SUM($H$18:$H31)</f>
        <v>0</v>
      </c>
    </row>
    <row r="32" spans="1:10" ht="15" customHeight="1">
      <c r="A32" s="349"/>
      <c r="B32" s="346">
        <f t="shared" si="0"/>
      </c>
      <c r="C32" s="346">
        <f t="shared" si="6"/>
      </c>
      <c r="D32" s="346">
        <f t="shared" si="1"/>
      </c>
      <c r="E32" s="347" t="e">
        <f t="shared" si="2"/>
        <v>#VALUE!</v>
      </c>
      <c r="F32" s="348" t="e">
        <f t="shared" si="3"/>
        <v>#VALUE!</v>
      </c>
      <c r="G32" s="346">
        <f t="shared" si="4"/>
      </c>
      <c r="H32" s="346">
        <f t="shared" si="7"/>
      </c>
      <c r="I32" s="348" t="e">
        <f t="shared" si="5"/>
        <v>#VALUE!</v>
      </c>
      <c r="J32" s="348">
        <f>SUM($H$18:$H32)</f>
        <v>0</v>
      </c>
    </row>
    <row r="33" spans="1:10" ht="15" customHeight="1">
      <c r="A33" s="349"/>
      <c r="B33" s="346">
        <f t="shared" si="0"/>
      </c>
      <c r="C33" s="346">
        <f t="shared" si="6"/>
      </c>
      <c r="D33" s="346">
        <f t="shared" si="1"/>
      </c>
      <c r="E33" s="347" t="e">
        <f t="shared" si="2"/>
        <v>#VALUE!</v>
      </c>
      <c r="F33" s="348" t="e">
        <f t="shared" si="3"/>
        <v>#VALUE!</v>
      </c>
      <c r="G33" s="346">
        <f t="shared" si="4"/>
      </c>
      <c r="H33" s="346">
        <f t="shared" si="7"/>
      </c>
      <c r="I33" s="348" t="e">
        <f t="shared" si="5"/>
        <v>#VALUE!</v>
      </c>
      <c r="J33" s="348">
        <f>SUM($H$18:$H33)</f>
        <v>0</v>
      </c>
    </row>
    <row r="34" spans="1:10" ht="15" customHeight="1">
      <c r="A34" s="349"/>
      <c r="B34" s="346">
        <f t="shared" si="0"/>
      </c>
      <c r="C34" s="346">
        <f t="shared" si="6"/>
      </c>
      <c r="D34" s="346">
        <f t="shared" si="1"/>
      </c>
      <c r="E34" s="347" t="e">
        <f t="shared" si="2"/>
        <v>#VALUE!</v>
      </c>
      <c r="F34" s="348" t="e">
        <f t="shared" si="3"/>
        <v>#VALUE!</v>
      </c>
      <c r="G34" s="346">
        <f t="shared" si="4"/>
      </c>
      <c r="H34" s="346">
        <f t="shared" si="7"/>
      </c>
      <c r="I34" s="348" t="e">
        <f t="shared" si="5"/>
        <v>#VALUE!</v>
      </c>
      <c r="J34" s="348">
        <f>SUM($H$18:$H34)</f>
        <v>0</v>
      </c>
    </row>
    <row r="35" spans="1:10" ht="15" customHeight="1">
      <c r="A35" s="349"/>
      <c r="B35" s="346">
        <f t="shared" si="0"/>
      </c>
      <c r="C35" s="346">
        <f t="shared" si="6"/>
      </c>
      <c r="D35" s="346">
        <f t="shared" si="1"/>
      </c>
      <c r="E35" s="347" t="e">
        <f t="shared" si="2"/>
        <v>#VALUE!</v>
      </c>
      <c r="F35" s="348" t="e">
        <f t="shared" si="3"/>
        <v>#VALUE!</v>
      </c>
      <c r="G35" s="346">
        <f t="shared" si="4"/>
      </c>
      <c r="H35" s="346">
        <f t="shared" si="7"/>
      </c>
      <c r="I35" s="348" t="e">
        <f t="shared" si="5"/>
        <v>#VALUE!</v>
      </c>
      <c r="J35" s="348">
        <f>SUM($H$18:$H35)</f>
        <v>0</v>
      </c>
    </row>
    <row r="36" spans="1:10" ht="15" customHeight="1">
      <c r="A36" s="349"/>
      <c r="B36" s="346">
        <f t="shared" si="0"/>
      </c>
      <c r="C36" s="346">
        <f t="shared" si="6"/>
      </c>
      <c r="D36" s="346">
        <f t="shared" si="1"/>
      </c>
      <c r="E36" s="347" t="e">
        <f t="shared" si="2"/>
        <v>#VALUE!</v>
      </c>
      <c r="F36" s="348" t="e">
        <f t="shared" si="3"/>
        <v>#VALUE!</v>
      </c>
      <c r="G36" s="346">
        <f t="shared" si="4"/>
      </c>
      <c r="H36" s="346">
        <f t="shared" si="7"/>
      </c>
      <c r="I36" s="348" t="e">
        <f t="shared" si="5"/>
        <v>#VALUE!</v>
      </c>
      <c r="J36" s="348">
        <f>SUM($H$18:$H36)</f>
        <v>0</v>
      </c>
    </row>
    <row r="37" spans="1:10" ht="15" customHeight="1">
      <c r="A37" s="349"/>
      <c r="B37" s="346">
        <f t="shared" si="0"/>
      </c>
      <c r="C37" s="346">
        <f t="shared" si="6"/>
      </c>
      <c r="D37" s="346">
        <f t="shared" si="1"/>
      </c>
      <c r="E37" s="347" t="e">
        <f t="shared" si="2"/>
        <v>#VALUE!</v>
      </c>
      <c r="F37" s="348" t="e">
        <f t="shared" si="3"/>
        <v>#VALUE!</v>
      </c>
      <c r="G37" s="346">
        <f t="shared" si="4"/>
      </c>
      <c r="H37" s="346">
        <f t="shared" si="7"/>
      </c>
      <c r="I37" s="348" t="e">
        <f t="shared" si="5"/>
        <v>#VALUE!</v>
      </c>
      <c r="J37" s="348">
        <f>SUM($H$18:$H37)</f>
        <v>0</v>
      </c>
    </row>
    <row r="38" spans="1:10" ht="15" customHeight="1">
      <c r="A38" s="349"/>
      <c r="B38" s="346">
        <f t="shared" si="0"/>
      </c>
      <c r="C38" s="346">
        <f t="shared" si="6"/>
      </c>
      <c r="D38" s="346">
        <f t="shared" si="1"/>
      </c>
      <c r="E38" s="347" t="e">
        <f t="shared" si="2"/>
        <v>#VALUE!</v>
      </c>
      <c r="F38" s="348" t="e">
        <f t="shared" si="3"/>
        <v>#VALUE!</v>
      </c>
      <c r="G38" s="346">
        <f t="shared" si="4"/>
      </c>
      <c r="H38" s="346">
        <f t="shared" si="7"/>
      </c>
      <c r="I38" s="348" t="e">
        <f t="shared" si="5"/>
        <v>#VALUE!</v>
      </c>
      <c r="J38" s="348">
        <f>SUM($H$18:$H38)</f>
        <v>0</v>
      </c>
    </row>
    <row r="39" spans="1:10" ht="15" customHeight="1">
      <c r="A39" s="349"/>
      <c r="B39" s="346">
        <f t="shared" si="0"/>
      </c>
      <c r="C39" s="346">
        <f t="shared" si="6"/>
      </c>
      <c r="D39" s="346">
        <f t="shared" si="1"/>
      </c>
      <c r="E39" s="347" t="e">
        <f t="shared" si="2"/>
        <v>#VALUE!</v>
      </c>
      <c r="F39" s="348" t="e">
        <f t="shared" si="3"/>
        <v>#VALUE!</v>
      </c>
      <c r="G39" s="346">
        <f t="shared" si="4"/>
      </c>
      <c r="H39" s="346">
        <f t="shared" si="7"/>
      </c>
      <c r="I39" s="348" t="e">
        <f t="shared" si="5"/>
        <v>#VALUE!</v>
      </c>
      <c r="J39" s="348">
        <f>SUM($H$18:$H39)</f>
        <v>0</v>
      </c>
    </row>
    <row r="40" spans="1:10" ht="15" customHeight="1">
      <c r="A40" s="349"/>
      <c r="B40" s="346">
        <f t="shared" si="0"/>
      </c>
      <c r="C40" s="346">
        <f t="shared" si="6"/>
      </c>
      <c r="D40" s="346">
        <f t="shared" si="1"/>
      </c>
      <c r="E40" s="347" t="e">
        <f t="shared" si="2"/>
        <v>#VALUE!</v>
      </c>
      <c r="F40" s="348" t="e">
        <f t="shared" si="3"/>
        <v>#VALUE!</v>
      </c>
      <c r="G40" s="346">
        <f t="shared" si="4"/>
      </c>
      <c r="H40" s="346">
        <f t="shared" si="7"/>
      </c>
      <c r="I40" s="348" t="e">
        <f t="shared" si="5"/>
        <v>#VALUE!</v>
      </c>
      <c r="J40" s="348">
        <f>SUM($H$18:$H40)</f>
        <v>0</v>
      </c>
    </row>
    <row r="41" spans="1:10" ht="15" customHeight="1">
      <c r="A41" s="349"/>
      <c r="B41" s="346">
        <f t="shared" si="0"/>
      </c>
      <c r="C41" s="346">
        <f t="shared" si="6"/>
      </c>
      <c r="D41" s="346">
        <f t="shared" si="1"/>
      </c>
      <c r="E41" s="347" t="e">
        <f t="shared" si="2"/>
        <v>#VALUE!</v>
      </c>
      <c r="F41" s="348" t="e">
        <f t="shared" si="3"/>
        <v>#VALUE!</v>
      </c>
      <c r="G41" s="346">
        <f t="shared" si="4"/>
      </c>
      <c r="H41" s="346">
        <f t="shared" si="7"/>
      </c>
      <c r="I41" s="348" t="e">
        <f t="shared" si="5"/>
        <v>#VALUE!</v>
      </c>
      <c r="J41" s="348">
        <f>SUM($H$18:$H41)</f>
        <v>0</v>
      </c>
    </row>
    <row r="42" spans="1:10" ht="15" customHeight="1">
      <c r="A42" s="349"/>
      <c r="B42" s="346">
        <f t="shared" si="0"/>
      </c>
      <c r="C42" s="346">
        <f t="shared" si="6"/>
      </c>
      <c r="D42" s="346">
        <f t="shared" si="1"/>
      </c>
      <c r="E42" s="347" t="e">
        <f t="shared" si="2"/>
        <v>#VALUE!</v>
      </c>
      <c r="F42" s="348" t="e">
        <f t="shared" si="3"/>
        <v>#VALUE!</v>
      </c>
      <c r="G42" s="346">
        <f t="shared" si="4"/>
      </c>
      <c r="H42" s="346">
        <f t="shared" si="7"/>
      </c>
      <c r="I42" s="348" t="e">
        <f t="shared" si="5"/>
        <v>#VALUE!</v>
      </c>
      <c r="J42" s="348">
        <f>SUM($H$18:$H42)</f>
        <v>0</v>
      </c>
    </row>
    <row r="43" spans="1:10" ht="15" customHeight="1">
      <c r="A43" s="349"/>
      <c r="B43" s="346">
        <f t="shared" si="0"/>
      </c>
      <c r="C43" s="346">
        <f t="shared" si="6"/>
      </c>
      <c r="D43" s="346">
        <f t="shared" si="1"/>
      </c>
      <c r="E43" s="347" t="e">
        <f t="shared" si="2"/>
        <v>#VALUE!</v>
      </c>
      <c r="F43" s="348" t="e">
        <f t="shared" si="3"/>
        <v>#VALUE!</v>
      </c>
      <c r="G43" s="346">
        <f t="shared" si="4"/>
      </c>
      <c r="H43" s="346">
        <f t="shared" si="7"/>
      </c>
      <c r="I43" s="348" t="e">
        <f t="shared" si="5"/>
        <v>#VALUE!</v>
      </c>
      <c r="J43" s="348">
        <f>SUM($H$18:$H43)</f>
        <v>0</v>
      </c>
    </row>
    <row r="44" spans="1:10" ht="15" customHeight="1">
      <c r="A44" s="349"/>
      <c r="B44" s="346">
        <f t="shared" si="0"/>
      </c>
      <c r="C44" s="346">
        <f t="shared" si="6"/>
      </c>
      <c r="D44" s="346">
        <f t="shared" si="1"/>
      </c>
      <c r="E44" s="347" t="e">
        <f t="shared" si="2"/>
        <v>#VALUE!</v>
      </c>
      <c r="F44" s="348" t="e">
        <f t="shared" si="3"/>
        <v>#VALUE!</v>
      </c>
      <c r="G44" s="346">
        <f t="shared" si="4"/>
      </c>
      <c r="H44" s="346">
        <f t="shared" si="7"/>
      </c>
      <c r="I44" s="348" t="e">
        <f t="shared" si="5"/>
        <v>#VALUE!</v>
      </c>
      <c r="J44" s="348">
        <f>SUM($H$18:$H44)</f>
        <v>0</v>
      </c>
    </row>
    <row r="45" spans="1:10" ht="15" customHeight="1">
      <c r="A45" s="349"/>
      <c r="B45" s="346">
        <f t="shared" si="0"/>
      </c>
      <c r="C45" s="346">
        <f t="shared" si="6"/>
      </c>
      <c r="D45" s="346">
        <f t="shared" si="1"/>
      </c>
      <c r="E45" s="347" t="e">
        <f t="shared" si="2"/>
        <v>#VALUE!</v>
      </c>
      <c r="F45" s="348" t="e">
        <f t="shared" si="3"/>
        <v>#VALUE!</v>
      </c>
      <c r="G45" s="346">
        <f t="shared" si="4"/>
      </c>
      <c r="H45" s="346">
        <f t="shared" si="7"/>
      </c>
      <c r="I45" s="348" t="e">
        <f t="shared" si="5"/>
        <v>#VALUE!</v>
      </c>
      <c r="J45" s="348">
        <f>SUM($H$18:$H45)</f>
        <v>0</v>
      </c>
    </row>
    <row r="46" spans="1:10" ht="15" customHeight="1">
      <c r="A46" s="349"/>
      <c r="B46" s="346">
        <f t="shared" si="0"/>
      </c>
      <c r="C46" s="346">
        <f t="shared" si="6"/>
      </c>
      <c r="D46" s="346">
        <f t="shared" si="1"/>
      </c>
      <c r="E46" s="347" t="e">
        <f t="shared" si="2"/>
        <v>#VALUE!</v>
      </c>
      <c r="F46" s="348" t="e">
        <f t="shared" si="3"/>
        <v>#VALUE!</v>
      </c>
      <c r="G46" s="346">
        <f t="shared" si="4"/>
      </c>
      <c r="H46" s="346">
        <f t="shared" si="7"/>
      </c>
      <c r="I46" s="348" t="e">
        <f t="shared" si="5"/>
        <v>#VALUE!</v>
      </c>
      <c r="J46" s="348">
        <f>SUM($H$18:$H46)</f>
        <v>0</v>
      </c>
    </row>
    <row r="47" spans="1:10" ht="15" customHeight="1">
      <c r="A47" s="349"/>
      <c r="B47" s="346">
        <f t="shared" si="0"/>
      </c>
      <c r="C47" s="346">
        <f t="shared" si="6"/>
      </c>
      <c r="D47" s="346">
        <f t="shared" si="1"/>
      </c>
      <c r="E47" s="347" t="e">
        <f t="shared" si="2"/>
        <v>#VALUE!</v>
      </c>
      <c r="F47" s="348" t="e">
        <f t="shared" si="3"/>
        <v>#VALUE!</v>
      </c>
      <c r="G47" s="346">
        <f t="shared" si="4"/>
      </c>
      <c r="H47" s="346">
        <f t="shared" si="7"/>
      </c>
      <c r="I47" s="348" t="e">
        <f t="shared" si="5"/>
        <v>#VALUE!</v>
      </c>
      <c r="J47" s="348">
        <f>SUM($H$18:$H47)</f>
        <v>0</v>
      </c>
    </row>
    <row r="48" spans="1:10" ht="15" customHeight="1">
      <c r="A48" s="349"/>
      <c r="B48" s="346">
        <f t="shared" si="0"/>
      </c>
      <c r="C48" s="346">
        <f t="shared" si="6"/>
      </c>
      <c r="D48" s="346">
        <f t="shared" si="1"/>
      </c>
      <c r="E48" s="347" t="e">
        <f t="shared" si="2"/>
        <v>#VALUE!</v>
      </c>
      <c r="F48" s="348" t="e">
        <f t="shared" si="3"/>
        <v>#VALUE!</v>
      </c>
      <c r="G48" s="346">
        <f t="shared" si="4"/>
      </c>
      <c r="H48" s="346">
        <f t="shared" si="7"/>
      </c>
      <c r="I48" s="348" t="e">
        <f t="shared" si="5"/>
        <v>#VALUE!</v>
      </c>
      <c r="J48" s="348">
        <f>SUM($H$18:$H48)</f>
        <v>0</v>
      </c>
    </row>
    <row r="49" spans="1:10" ht="15" customHeight="1">
      <c r="A49" s="349"/>
      <c r="B49" s="346">
        <f t="shared" si="0"/>
      </c>
      <c r="C49" s="346">
        <f t="shared" si="6"/>
      </c>
      <c r="D49" s="346">
        <f t="shared" si="1"/>
      </c>
      <c r="E49" s="347" t="e">
        <f t="shared" si="2"/>
        <v>#VALUE!</v>
      </c>
      <c r="F49" s="348" t="e">
        <f t="shared" si="3"/>
        <v>#VALUE!</v>
      </c>
      <c r="G49" s="346">
        <f t="shared" si="4"/>
      </c>
      <c r="H49" s="346">
        <f t="shared" si="7"/>
      </c>
      <c r="I49" s="348" t="e">
        <f t="shared" si="5"/>
        <v>#VALUE!</v>
      </c>
      <c r="J49" s="348">
        <f>SUM($H$18:$H49)</f>
        <v>0</v>
      </c>
    </row>
    <row r="50" spans="1:10" ht="15" customHeight="1">
      <c r="A50" s="349"/>
      <c r="B50" s="346">
        <f t="shared" si="0"/>
      </c>
      <c r="C50" s="346">
        <f t="shared" si="6"/>
      </c>
      <c r="D50" s="346">
        <f t="shared" si="1"/>
      </c>
      <c r="E50" s="347" t="e">
        <f t="shared" si="2"/>
        <v>#VALUE!</v>
      </c>
      <c r="F50" s="348" t="e">
        <f t="shared" si="3"/>
        <v>#VALUE!</v>
      </c>
      <c r="G50" s="346">
        <f t="shared" si="4"/>
      </c>
      <c r="H50" s="346">
        <f t="shared" si="7"/>
      </c>
      <c r="I50" s="348" t="e">
        <f t="shared" si="5"/>
        <v>#VALUE!</v>
      </c>
      <c r="J50" s="348">
        <f>SUM($H$18:$H50)</f>
        <v>0</v>
      </c>
    </row>
    <row r="51" spans="1:10" ht="15" customHeight="1">
      <c r="A51" s="349"/>
      <c r="B51" s="346">
        <f t="shared" si="0"/>
      </c>
      <c r="C51" s="346">
        <f t="shared" si="6"/>
      </c>
      <c r="D51" s="346">
        <f t="shared" si="1"/>
      </c>
      <c r="E51" s="347" t="e">
        <f t="shared" si="2"/>
        <v>#VALUE!</v>
      </c>
      <c r="F51" s="348" t="e">
        <f t="shared" si="3"/>
        <v>#VALUE!</v>
      </c>
      <c r="G51" s="346">
        <f t="shared" si="4"/>
      </c>
      <c r="H51" s="346">
        <f t="shared" si="7"/>
      </c>
      <c r="I51" s="348" t="e">
        <f t="shared" si="5"/>
        <v>#VALUE!</v>
      </c>
      <c r="J51" s="348">
        <f>SUM($H$18:$H51)</f>
        <v>0</v>
      </c>
    </row>
    <row r="52" spans="1:10" ht="15" customHeight="1">
      <c r="A52" s="349"/>
      <c r="B52" s="346">
        <f t="shared" si="0"/>
      </c>
      <c r="C52" s="346">
        <f t="shared" si="6"/>
      </c>
      <c r="D52" s="346">
        <f t="shared" si="1"/>
      </c>
      <c r="E52" s="347" t="e">
        <f t="shared" si="2"/>
        <v>#VALUE!</v>
      </c>
      <c r="F52" s="348" t="e">
        <f t="shared" si="3"/>
        <v>#VALUE!</v>
      </c>
      <c r="G52" s="346">
        <f t="shared" si="4"/>
      </c>
      <c r="H52" s="346">
        <f t="shared" si="7"/>
      </c>
      <c r="I52" s="348" t="e">
        <f t="shared" si="5"/>
        <v>#VALUE!</v>
      </c>
      <c r="J52" s="348">
        <f>SUM($H$18:$H52)</f>
        <v>0</v>
      </c>
    </row>
    <row r="53" spans="1:10" ht="15" customHeight="1">
      <c r="A53" s="349"/>
      <c r="B53" s="346">
        <f t="shared" si="0"/>
      </c>
      <c r="C53" s="346">
        <f t="shared" si="6"/>
      </c>
      <c r="D53" s="346">
        <f t="shared" si="1"/>
      </c>
      <c r="E53" s="347" t="e">
        <f t="shared" si="2"/>
        <v>#VALUE!</v>
      </c>
      <c r="F53" s="348" t="e">
        <f t="shared" si="3"/>
        <v>#VALUE!</v>
      </c>
      <c r="G53" s="346">
        <f t="shared" si="4"/>
      </c>
      <c r="H53" s="346">
        <f t="shared" si="7"/>
      </c>
      <c r="I53" s="348" t="e">
        <f t="shared" si="5"/>
        <v>#VALUE!</v>
      </c>
      <c r="J53" s="348">
        <f>SUM($H$18:$H53)</f>
        <v>0</v>
      </c>
    </row>
    <row r="54" spans="1:10" ht="15" customHeight="1">
      <c r="A54" s="349"/>
      <c r="B54" s="346">
        <f t="shared" si="0"/>
      </c>
      <c r="C54" s="346">
        <f t="shared" si="6"/>
      </c>
      <c r="D54" s="346">
        <f t="shared" si="1"/>
      </c>
      <c r="E54" s="347" t="e">
        <f t="shared" si="2"/>
        <v>#VALUE!</v>
      </c>
      <c r="F54" s="348" t="e">
        <f t="shared" si="3"/>
        <v>#VALUE!</v>
      </c>
      <c r="G54" s="346">
        <f t="shared" si="4"/>
      </c>
      <c r="H54" s="346">
        <f t="shared" si="7"/>
      </c>
      <c r="I54" s="348" t="e">
        <f t="shared" si="5"/>
        <v>#VALUE!</v>
      </c>
      <c r="J54" s="348">
        <f>SUM($H$18:$H54)</f>
        <v>0</v>
      </c>
    </row>
    <row r="55" spans="1:10" ht="15" customHeight="1">
      <c r="A55" s="349"/>
      <c r="B55" s="346">
        <f t="shared" si="0"/>
      </c>
      <c r="C55" s="346">
        <f t="shared" si="6"/>
      </c>
      <c r="D55" s="346">
        <f t="shared" si="1"/>
      </c>
      <c r="E55" s="347" t="e">
        <f t="shared" si="2"/>
        <v>#VALUE!</v>
      </c>
      <c r="F55" s="348" t="e">
        <f t="shared" si="3"/>
        <v>#VALUE!</v>
      </c>
      <c r="G55" s="346">
        <f t="shared" si="4"/>
      </c>
      <c r="H55" s="346">
        <f t="shared" si="7"/>
      </c>
      <c r="I55" s="348" t="e">
        <f t="shared" si="5"/>
        <v>#VALUE!</v>
      </c>
      <c r="J55" s="348">
        <f>SUM($H$18:$H55)</f>
        <v>0</v>
      </c>
    </row>
    <row r="56" spans="1:10" ht="15" customHeight="1">
      <c r="A56" s="349"/>
      <c r="B56" s="346">
        <f t="shared" si="0"/>
      </c>
      <c r="C56" s="346">
        <f t="shared" si="6"/>
      </c>
      <c r="D56" s="346">
        <f t="shared" si="1"/>
      </c>
      <c r="E56" s="347" t="e">
        <f t="shared" si="2"/>
        <v>#VALUE!</v>
      </c>
      <c r="F56" s="348" t="e">
        <f t="shared" si="3"/>
        <v>#VALUE!</v>
      </c>
      <c r="G56" s="346">
        <f t="shared" si="4"/>
      </c>
      <c r="H56" s="346">
        <f t="shared" si="7"/>
      </c>
      <c r="I56" s="348" t="e">
        <f t="shared" si="5"/>
        <v>#VALUE!</v>
      </c>
      <c r="J56" s="348">
        <f>SUM($H$18:$H56)</f>
        <v>0</v>
      </c>
    </row>
    <row r="57" spans="1:10" ht="15" customHeight="1">
      <c r="A57" s="349"/>
      <c r="B57" s="346">
        <f t="shared" si="0"/>
      </c>
      <c r="C57" s="346">
        <f t="shared" si="6"/>
      </c>
      <c r="D57" s="346">
        <f t="shared" si="1"/>
      </c>
      <c r="E57" s="347" t="e">
        <f t="shared" si="2"/>
        <v>#VALUE!</v>
      </c>
      <c r="F57" s="348" t="e">
        <f t="shared" si="3"/>
        <v>#VALUE!</v>
      </c>
      <c r="G57" s="346">
        <f t="shared" si="4"/>
      </c>
      <c r="H57" s="346">
        <f t="shared" si="7"/>
      </c>
      <c r="I57" s="348" t="e">
        <f t="shared" si="5"/>
        <v>#VALUE!</v>
      </c>
      <c r="J57" s="348">
        <f>SUM($H$18:$H57)</f>
        <v>0</v>
      </c>
    </row>
    <row r="58" spans="1:10" ht="15" customHeight="1">
      <c r="A58" s="349"/>
      <c r="B58" s="346">
        <f t="shared" si="0"/>
      </c>
      <c r="C58" s="346">
        <f t="shared" si="6"/>
      </c>
      <c r="D58" s="346">
        <f t="shared" si="1"/>
      </c>
      <c r="E58" s="347" t="e">
        <f t="shared" si="2"/>
        <v>#VALUE!</v>
      </c>
      <c r="F58" s="348" t="e">
        <f t="shared" si="3"/>
        <v>#VALUE!</v>
      </c>
      <c r="G58" s="346">
        <f t="shared" si="4"/>
      </c>
      <c r="H58" s="346">
        <f t="shared" si="7"/>
      </c>
      <c r="I58" s="348" t="e">
        <f t="shared" si="5"/>
        <v>#VALUE!</v>
      </c>
      <c r="J58" s="348">
        <f>SUM($H$18:$H58)</f>
        <v>0</v>
      </c>
    </row>
    <row r="59" spans="1:10" ht="15" customHeight="1">
      <c r="A59" s="349"/>
      <c r="B59" s="346">
        <f t="shared" si="0"/>
      </c>
      <c r="C59" s="346">
        <f t="shared" si="6"/>
      </c>
      <c r="D59" s="346">
        <f t="shared" si="1"/>
      </c>
      <c r="E59" s="347" t="e">
        <f t="shared" si="2"/>
        <v>#VALUE!</v>
      </c>
      <c r="F59" s="348" t="e">
        <f t="shared" si="3"/>
        <v>#VALUE!</v>
      </c>
      <c r="G59" s="346">
        <f t="shared" si="4"/>
      </c>
      <c r="H59" s="346">
        <f t="shared" si="7"/>
      </c>
      <c r="I59" s="348" t="e">
        <f t="shared" si="5"/>
        <v>#VALUE!</v>
      </c>
      <c r="J59" s="348">
        <f>SUM($H$18:$H59)</f>
        <v>0</v>
      </c>
    </row>
    <row r="60" spans="1:10" ht="15" customHeight="1">
      <c r="A60" s="349"/>
      <c r="B60" s="346">
        <f t="shared" si="0"/>
      </c>
      <c r="C60" s="346">
        <f t="shared" si="6"/>
      </c>
      <c r="D60" s="346">
        <f t="shared" si="1"/>
      </c>
      <c r="E60" s="347" t="e">
        <f t="shared" si="2"/>
        <v>#VALUE!</v>
      </c>
      <c r="F60" s="348" t="e">
        <f t="shared" si="3"/>
        <v>#VALUE!</v>
      </c>
      <c r="G60" s="346">
        <f t="shared" si="4"/>
      </c>
      <c r="H60" s="346">
        <f t="shared" si="7"/>
      </c>
      <c r="I60" s="348" t="e">
        <f t="shared" si="5"/>
        <v>#VALUE!</v>
      </c>
      <c r="J60" s="348">
        <f>SUM($H$18:$H60)</f>
        <v>0</v>
      </c>
    </row>
    <row r="61" spans="1:10" ht="15" customHeight="1">
      <c r="A61" s="349"/>
      <c r="B61" s="346">
        <f t="shared" si="0"/>
      </c>
      <c r="C61" s="346">
        <f t="shared" si="6"/>
      </c>
      <c r="D61" s="346">
        <f t="shared" si="1"/>
      </c>
      <c r="E61" s="347" t="e">
        <f t="shared" si="2"/>
        <v>#VALUE!</v>
      </c>
      <c r="F61" s="348" t="e">
        <f t="shared" si="3"/>
        <v>#VALUE!</v>
      </c>
      <c r="G61" s="346">
        <f t="shared" si="4"/>
      </c>
      <c r="H61" s="346">
        <f t="shared" si="7"/>
      </c>
      <c r="I61" s="348" t="e">
        <f t="shared" si="5"/>
        <v>#VALUE!</v>
      </c>
      <c r="J61" s="348">
        <f>SUM($H$18:$H61)</f>
        <v>0</v>
      </c>
    </row>
    <row r="62" spans="1:10" ht="15" customHeight="1">
      <c r="A62" s="349"/>
      <c r="B62" s="346">
        <f t="shared" si="0"/>
      </c>
      <c r="C62" s="346">
        <f t="shared" si="6"/>
      </c>
      <c r="D62" s="346">
        <f t="shared" si="1"/>
      </c>
      <c r="E62" s="347" t="e">
        <f t="shared" si="2"/>
        <v>#VALUE!</v>
      </c>
      <c r="F62" s="348" t="e">
        <f t="shared" si="3"/>
        <v>#VALUE!</v>
      </c>
      <c r="G62" s="346">
        <f t="shared" si="4"/>
      </c>
      <c r="H62" s="346">
        <f t="shared" si="7"/>
      </c>
      <c r="I62" s="348" t="e">
        <f t="shared" si="5"/>
        <v>#VALUE!</v>
      </c>
      <c r="J62" s="348">
        <f>SUM($H$18:$H62)</f>
        <v>0</v>
      </c>
    </row>
    <row r="63" spans="1:10" ht="15" customHeight="1">
      <c r="A63" s="349"/>
      <c r="B63" s="346">
        <f t="shared" si="0"/>
      </c>
      <c r="C63" s="346">
        <f t="shared" si="6"/>
      </c>
      <c r="D63" s="346">
        <f t="shared" si="1"/>
      </c>
      <c r="E63" s="347" t="e">
        <f t="shared" si="2"/>
        <v>#VALUE!</v>
      </c>
      <c r="F63" s="348" t="e">
        <f t="shared" si="3"/>
        <v>#VALUE!</v>
      </c>
      <c r="G63" s="346">
        <f t="shared" si="4"/>
      </c>
      <c r="H63" s="346">
        <f t="shared" si="7"/>
      </c>
      <c r="I63" s="348" t="e">
        <f t="shared" si="5"/>
        <v>#VALUE!</v>
      </c>
      <c r="J63" s="348">
        <f>SUM($H$18:$H63)</f>
        <v>0</v>
      </c>
    </row>
    <row r="64" spans="1:10" ht="15" customHeight="1">
      <c r="A64" s="349"/>
      <c r="B64" s="346">
        <f t="shared" si="0"/>
      </c>
      <c r="C64" s="346">
        <f t="shared" si="6"/>
      </c>
      <c r="D64" s="346">
        <f t="shared" si="1"/>
      </c>
      <c r="E64" s="347" t="e">
        <f t="shared" si="2"/>
        <v>#VALUE!</v>
      </c>
      <c r="F64" s="348" t="e">
        <f t="shared" si="3"/>
        <v>#VALUE!</v>
      </c>
      <c r="G64" s="346">
        <f t="shared" si="4"/>
      </c>
      <c r="H64" s="346">
        <f t="shared" si="7"/>
      </c>
      <c r="I64" s="348" t="e">
        <f t="shared" si="5"/>
        <v>#VALUE!</v>
      </c>
      <c r="J64" s="348">
        <f>SUM($H$18:$H64)</f>
        <v>0</v>
      </c>
    </row>
    <row r="65" spans="1:10" ht="15" customHeight="1">
      <c r="A65" s="349"/>
      <c r="B65" s="346">
        <f t="shared" si="0"/>
      </c>
      <c r="C65" s="346">
        <f t="shared" si="6"/>
      </c>
      <c r="D65" s="346">
        <f t="shared" si="1"/>
      </c>
      <c r="E65" s="347" t="e">
        <f t="shared" si="2"/>
        <v>#VALUE!</v>
      </c>
      <c r="F65" s="348" t="e">
        <f t="shared" si="3"/>
        <v>#VALUE!</v>
      </c>
      <c r="G65" s="346">
        <f t="shared" si="4"/>
      </c>
      <c r="H65" s="346">
        <f t="shared" si="7"/>
      </c>
      <c r="I65" s="348" t="e">
        <f t="shared" si="5"/>
        <v>#VALUE!</v>
      </c>
      <c r="J65" s="348">
        <f>SUM($H$18:$H65)</f>
        <v>0</v>
      </c>
    </row>
    <row r="66" spans="1:10" ht="15" customHeight="1">
      <c r="A66" s="349"/>
      <c r="B66" s="346">
        <f t="shared" si="0"/>
      </c>
      <c r="C66" s="346">
        <f t="shared" si="6"/>
      </c>
      <c r="D66" s="346">
        <f t="shared" si="1"/>
      </c>
      <c r="E66" s="347" t="e">
        <f t="shared" si="2"/>
        <v>#VALUE!</v>
      </c>
      <c r="F66" s="348" t="e">
        <f t="shared" si="3"/>
        <v>#VALUE!</v>
      </c>
      <c r="G66" s="346">
        <f t="shared" si="4"/>
      </c>
      <c r="H66" s="346">
        <f t="shared" si="7"/>
      </c>
      <c r="I66" s="348" t="e">
        <f t="shared" si="5"/>
        <v>#VALUE!</v>
      </c>
      <c r="J66" s="348">
        <f>SUM($H$18:$H66)</f>
        <v>0</v>
      </c>
    </row>
    <row r="67" spans="1:10" ht="15" customHeight="1">
      <c r="A67" s="349"/>
      <c r="B67" s="346">
        <f t="shared" si="0"/>
      </c>
      <c r="C67" s="346">
        <f t="shared" si="6"/>
      </c>
      <c r="D67" s="346">
        <f t="shared" si="1"/>
      </c>
      <c r="E67" s="347" t="e">
        <f t="shared" si="2"/>
        <v>#VALUE!</v>
      </c>
      <c r="F67" s="348" t="e">
        <f t="shared" si="3"/>
        <v>#VALUE!</v>
      </c>
      <c r="G67" s="346">
        <f t="shared" si="4"/>
      </c>
      <c r="H67" s="346">
        <f t="shared" si="7"/>
      </c>
      <c r="I67" s="348" t="e">
        <f t="shared" si="5"/>
        <v>#VALUE!</v>
      </c>
      <c r="J67" s="348">
        <f>SUM($H$18:$H67)</f>
        <v>0</v>
      </c>
    </row>
    <row r="68" spans="1:10" ht="15" customHeight="1">
      <c r="A68" s="349"/>
      <c r="B68" s="346">
        <f t="shared" si="0"/>
      </c>
      <c r="C68" s="346">
        <f t="shared" si="6"/>
      </c>
      <c r="D68" s="346">
        <f t="shared" si="1"/>
      </c>
      <c r="E68" s="347" t="e">
        <f t="shared" si="2"/>
        <v>#VALUE!</v>
      </c>
      <c r="F68" s="348" t="e">
        <f t="shared" si="3"/>
        <v>#VALUE!</v>
      </c>
      <c r="G68" s="346">
        <f t="shared" si="4"/>
      </c>
      <c r="H68" s="346">
        <f t="shared" si="7"/>
      </c>
      <c r="I68" s="348" t="e">
        <f t="shared" si="5"/>
        <v>#VALUE!</v>
      </c>
      <c r="J68" s="348">
        <f>SUM($H$18:$H68)</f>
        <v>0</v>
      </c>
    </row>
    <row r="69" spans="1:10" ht="15" customHeight="1">
      <c r="A69" s="349"/>
      <c r="B69" s="346">
        <f t="shared" si="0"/>
      </c>
      <c r="C69" s="346">
        <f t="shared" si="6"/>
      </c>
      <c r="D69" s="346">
        <f t="shared" si="1"/>
      </c>
      <c r="E69" s="347" t="e">
        <f t="shared" si="2"/>
        <v>#VALUE!</v>
      </c>
      <c r="F69" s="348" t="e">
        <f t="shared" si="3"/>
        <v>#VALUE!</v>
      </c>
      <c r="G69" s="346">
        <f t="shared" si="4"/>
      </c>
      <c r="H69" s="346">
        <f t="shared" si="7"/>
      </c>
      <c r="I69" s="348" t="e">
        <f t="shared" si="5"/>
        <v>#VALUE!</v>
      </c>
      <c r="J69" s="348">
        <f>SUM($H$18:$H69)</f>
        <v>0</v>
      </c>
    </row>
    <row r="70" spans="1:10" ht="15" customHeight="1">
      <c r="A70" s="349"/>
      <c r="B70" s="346">
        <f t="shared" si="0"/>
      </c>
      <c r="C70" s="346">
        <f t="shared" si="6"/>
      </c>
      <c r="D70" s="346">
        <f t="shared" si="1"/>
      </c>
      <c r="E70" s="347" t="e">
        <f t="shared" si="2"/>
        <v>#VALUE!</v>
      </c>
      <c r="F70" s="348" t="e">
        <f t="shared" si="3"/>
        <v>#VALUE!</v>
      </c>
      <c r="G70" s="346">
        <f t="shared" si="4"/>
      </c>
      <c r="H70" s="346">
        <f t="shared" si="7"/>
      </c>
      <c r="I70" s="348" t="e">
        <f t="shared" si="5"/>
        <v>#VALUE!</v>
      </c>
      <c r="J70" s="348">
        <f>SUM($H$18:$H70)</f>
        <v>0</v>
      </c>
    </row>
    <row r="71" spans="1:10" ht="15" customHeight="1">
      <c r="A71" s="349"/>
      <c r="B71" s="346">
        <f t="shared" si="0"/>
      </c>
      <c r="C71" s="346">
        <f t="shared" si="6"/>
      </c>
      <c r="D71" s="346">
        <f t="shared" si="1"/>
      </c>
      <c r="E71" s="347" t="e">
        <f t="shared" si="2"/>
        <v>#VALUE!</v>
      </c>
      <c r="F71" s="348" t="e">
        <f t="shared" si="3"/>
        <v>#VALUE!</v>
      </c>
      <c r="G71" s="346">
        <f t="shared" si="4"/>
      </c>
      <c r="H71" s="346">
        <f t="shared" si="7"/>
      </c>
      <c r="I71" s="348" t="e">
        <f t="shared" si="5"/>
        <v>#VALUE!</v>
      </c>
      <c r="J71" s="348">
        <f>SUM($H$18:$H71)</f>
        <v>0</v>
      </c>
    </row>
    <row r="72" spans="1:10" ht="15" customHeight="1">
      <c r="A72" s="349"/>
      <c r="B72" s="346">
        <f t="shared" si="0"/>
      </c>
      <c r="C72" s="346">
        <f t="shared" si="6"/>
      </c>
      <c r="D72" s="346">
        <f t="shared" si="1"/>
      </c>
      <c r="E72" s="347" t="e">
        <f t="shared" si="2"/>
        <v>#VALUE!</v>
      </c>
      <c r="F72" s="348" t="e">
        <f t="shared" si="3"/>
        <v>#VALUE!</v>
      </c>
      <c r="G72" s="346">
        <f t="shared" si="4"/>
      </c>
      <c r="H72" s="346">
        <f t="shared" si="7"/>
      </c>
      <c r="I72" s="348" t="e">
        <f t="shared" si="5"/>
        <v>#VALUE!</v>
      </c>
      <c r="J72" s="348">
        <f>SUM($H$18:$H72)</f>
        <v>0</v>
      </c>
    </row>
    <row r="73" spans="1:10" ht="15" customHeight="1">
      <c r="A73" s="349"/>
      <c r="B73" s="346">
        <f t="shared" si="0"/>
      </c>
      <c r="C73" s="346">
        <f t="shared" si="6"/>
      </c>
      <c r="D73" s="346">
        <f t="shared" si="1"/>
      </c>
      <c r="E73" s="347" t="e">
        <f t="shared" si="2"/>
        <v>#VALUE!</v>
      </c>
      <c r="F73" s="348" t="e">
        <f t="shared" si="3"/>
        <v>#VALUE!</v>
      </c>
      <c r="G73" s="346">
        <f t="shared" si="4"/>
      </c>
      <c r="H73" s="346">
        <f t="shared" si="7"/>
      </c>
      <c r="I73" s="348" t="e">
        <f t="shared" si="5"/>
        <v>#VALUE!</v>
      </c>
      <c r="J73" s="348">
        <f>SUM($H$18:$H73)</f>
        <v>0</v>
      </c>
    </row>
    <row r="74" spans="1:10" ht="15" customHeight="1">
      <c r="A74" s="349"/>
      <c r="B74" s="346">
        <f t="shared" si="0"/>
      </c>
      <c r="C74" s="346">
        <f t="shared" si="6"/>
      </c>
      <c r="D74" s="346">
        <f t="shared" si="1"/>
      </c>
      <c r="E74" s="347" t="e">
        <f t="shared" si="2"/>
        <v>#VALUE!</v>
      </c>
      <c r="F74" s="348" t="e">
        <f t="shared" si="3"/>
        <v>#VALUE!</v>
      </c>
      <c r="G74" s="346">
        <f t="shared" si="4"/>
      </c>
      <c r="H74" s="346">
        <f t="shared" si="7"/>
      </c>
      <c r="I74" s="348" t="e">
        <f t="shared" si="5"/>
        <v>#VALUE!</v>
      </c>
      <c r="J74" s="348">
        <f>SUM($H$18:$H74)</f>
        <v>0</v>
      </c>
    </row>
    <row r="75" spans="1:10" ht="15" customHeight="1">
      <c r="A75" s="349"/>
      <c r="B75" s="346">
        <f t="shared" si="0"/>
      </c>
      <c r="C75" s="346">
        <f t="shared" si="6"/>
      </c>
      <c r="D75" s="346">
        <f t="shared" si="1"/>
      </c>
      <c r="E75" s="347" t="e">
        <f t="shared" si="2"/>
        <v>#VALUE!</v>
      </c>
      <c r="F75" s="348" t="e">
        <f t="shared" si="3"/>
        <v>#VALUE!</v>
      </c>
      <c r="G75" s="346">
        <f t="shared" si="4"/>
      </c>
      <c r="H75" s="346">
        <f t="shared" si="7"/>
      </c>
      <c r="I75" s="348" t="e">
        <f t="shared" si="5"/>
        <v>#VALUE!</v>
      </c>
      <c r="J75" s="348">
        <f>SUM($H$18:$H75)</f>
        <v>0</v>
      </c>
    </row>
    <row r="76" spans="1:10" ht="15" customHeight="1">
      <c r="A76" s="349"/>
      <c r="B76" s="346">
        <f t="shared" si="0"/>
      </c>
      <c r="C76" s="346">
        <f t="shared" si="6"/>
      </c>
      <c r="D76" s="346">
        <f t="shared" si="1"/>
      </c>
      <c r="E76" s="347" t="e">
        <f t="shared" si="2"/>
        <v>#VALUE!</v>
      </c>
      <c r="F76" s="348" t="e">
        <f t="shared" si="3"/>
        <v>#VALUE!</v>
      </c>
      <c r="G76" s="346">
        <f t="shared" si="4"/>
      </c>
      <c r="H76" s="346">
        <f t="shared" si="7"/>
      </c>
      <c r="I76" s="348" t="e">
        <f t="shared" si="5"/>
        <v>#VALUE!</v>
      </c>
      <c r="J76" s="348">
        <f>SUM($H$18:$H76)</f>
        <v>0</v>
      </c>
    </row>
    <row r="77" spans="1:10" ht="15" customHeight="1">
      <c r="A77" s="349"/>
      <c r="B77" s="346">
        <f t="shared" si="0"/>
      </c>
      <c r="C77" s="346">
        <f t="shared" si="6"/>
      </c>
      <c r="D77" s="346">
        <f t="shared" si="1"/>
      </c>
      <c r="E77" s="347" t="e">
        <f t="shared" si="2"/>
        <v>#VALUE!</v>
      </c>
      <c r="F77" s="348" t="e">
        <f t="shared" si="3"/>
        <v>#VALUE!</v>
      </c>
      <c r="G77" s="346">
        <f t="shared" si="4"/>
      </c>
      <c r="H77" s="346">
        <f t="shared" si="7"/>
      </c>
      <c r="I77" s="348" t="e">
        <f t="shared" si="5"/>
        <v>#VALUE!</v>
      </c>
      <c r="J77" s="348">
        <f>SUM($H$18:$H77)</f>
        <v>0</v>
      </c>
    </row>
    <row r="78" spans="1:10" ht="15" customHeight="1">
      <c r="A78" s="349"/>
      <c r="B78" s="346">
        <f t="shared" si="0"/>
      </c>
      <c r="C78" s="346">
        <f t="shared" si="6"/>
      </c>
      <c r="D78" s="346">
        <f t="shared" si="1"/>
      </c>
      <c r="E78" s="347" t="e">
        <f t="shared" si="2"/>
        <v>#VALUE!</v>
      </c>
      <c r="F78" s="348" t="e">
        <f t="shared" si="3"/>
        <v>#VALUE!</v>
      </c>
      <c r="G78" s="346">
        <f t="shared" si="4"/>
      </c>
      <c r="H78" s="346">
        <f t="shared" si="7"/>
      </c>
      <c r="I78" s="348" t="e">
        <f t="shared" si="5"/>
        <v>#VALUE!</v>
      </c>
      <c r="J78" s="348">
        <f>SUM($H$18:$H78)</f>
        <v>0</v>
      </c>
    </row>
    <row r="79" spans="1:10" ht="15" customHeight="1">
      <c r="A79" s="349"/>
      <c r="B79" s="346">
        <f t="shared" si="0"/>
      </c>
      <c r="C79" s="346">
        <f t="shared" si="6"/>
      </c>
      <c r="D79" s="346">
        <f t="shared" si="1"/>
      </c>
      <c r="E79" s="347" t="e">
        <f t="shared" si="2"/>
        <v>#VALUE!</v>
      </c>
      <c r="F79" s="348" t="e">
        <f t="shared" si="3"/>
        <v>#VALUE!</v>
      </c>
      <c r="G79" s="346">
        <f t="shared" si="4"/>
      </c>
      <c r="H79" s="346">
        <f t="shared" si="7"/>
      </c>
      <c r="I79" s="348" t="e">
        <f t="shared" si="5"/>
        <v>#VALUE!</v>
      </c>
      <c r="J79" s="348">
        <f>SUM($H$18:$H79)</f>
        <v>0</v>
      </c>
    </row>
    <row r="80" spans="1:10" ht="15" customHeight="1">
      <c r="A80" s="349"/>
      <c r="B80" s="346">
        <f t="shared" si="0"/>
      </c>
      <c r="C80" s="346">
        <f t="shared" si="6"/>
      </c>
      <c r="D80" s="346">
        <f t="shared" si="1"/>
      </c>
      <c r="E80" s="347" t="e">
        <f t="shared" si="2"/>
        <v>#VALUE!</v>
      </c>
      <c r="F80" s="348" t="e">
        <f t="shared" si="3"/>
        <v>#VALUE!</v>
      </c>
      <c r="G80" s="346">
        <f t="shared" si="4"/>
      </c>
      <c r="H80" s="346">
        <f t="shared" si="7"/>
      </c>
      <c r="I80" s="348" t="e">
        <f t="shared" si="5"/>
        <v>#VALUE!</v>
      </c>
      <c r="J80" s="348">
        <f>SUM($H$18:$H80)</f>
        <v>0</v>
      </c>
    </row>
    <row r="81" spans="1:10" ht="15" customHeight="1">
      <c r="A81" s="349"/>
      <c r="B81" s="346">
        <f t="shared" si="0"/>
      </c>
      <c r="C81" s="346">
        <f t="shared" si="6"/>
      </c>
      <c r="D81" s="346">
        <f t="shared" si="1"/>
      </c>
      <c r="E81" s="347" t="e">
        <f t="shared" si="2"/>
        <v>#VALUE!</v>
      </c>
      <c r="F81" s="348" t="e">
        <f t="shared" si="3"/>
        <v>#VALUE!</v>
      </c>
      <c r="G81" s="346">
        <f t="shared" si="4"/>
      </c>
      <c r="H81" s="346">
        <f t="shared" si="7"/>
      </c>
      <c r="I81" s="348" t="e">
        <f t="shared" si="5"/>
        <v>#VALUE!</v>
      </c>
      <c r="J81" s="348">
        <f>SUM($H$18:$H81)</f>
        <v>0</v>
      </c>
    </row>
    <row r="82" spans="1:10" ht="15" customHeight="1">
      <c r="A82" s="349"/>
      <c r="B82" s="346">
        <f aca="true" t="shared" si="8" ref="B82:B145">IF($A$18:$A$377&lt;&gt;"",DATE(YEAR($D$9),MONTH($D$9)+($A$18:$A$377)*12/$D$8,DAY($D$9)),"")</f>
      </c>
      <c r="C82" s="346">
        <f t="shared" si="6"/>
      </c>
      <c r="D82" s="346">
        <f aca="true" t="shared" si="9" ref="D82:D145">IF($A$18:$A$377&lt;&gt;"",$H$5,"")</f>
      </c>
      <c r="E82" s="347" t="e">
        <f aca="true" t="shared" si="10" ref="E82:E145">IF(AND($A$18:$A$377&lt;&gt;"",$D$18:$D$377+$D$10&lt;$C$18:$C$377),$D$10,IF(AND($A$18:$A$377&lt;&gt;"",$C$18:$C$377-$D$18:$D$377&gt;0),$C$18:$C$377-$D$18:$D$377,IF($A$18:$A$377&lt;&gt;"",0,"")))</f>
        <v>#VALUE!</v>
      </c>
      <c r="F82" s="348" t="e">
        <f aca="true" t="shared" si="11" ref="F82:F145">IF(AND($A$18:$A$377&lt;&gt;"",$D$18:$D$377+$E$18:$E$377&lt;$C$18:$C$377),$D$18:$D$377+$E$18:$E$377,IF($A$18:$A$377&lt;&gt;"",$C$18:$C$377,""))</f>
        <v>#VALUE!</v>
      </c>
      <c r="G82" s="346">
        <f aca="true" t="shared" si="12" ref="G82:G145">IF($A$18:$A$377&lt;&gt;"",$F$18:$F$377-$H$18:$H$377,"")</f>
      </c>
      <c r="H82" s="346">
        <f t="shared" si="7"/>
      </c>
      <c r="I82" s="348" t="e">
        <f aca="true" t="shared" si="13" ref="I82:I145">IF(AND($A$18:$A$377&lt;&gt;"",$D$18:$D$377+$E$18:$E$377&lt;$C$18:$C$377),$C$18:$C$377-$G$18:$G$377,IF($A$18:$A$377&lt;&gt;"",0,""))</f>
        <v>#VALUE!</v>
      </c>
      <c r="J82" s="348">
        <f>SUM($H$18:$H82)</f>
        <v>0</v>
      </c>
    </row>
    <row r="83" spans="1:10" ht="15" customHeight="1">
      <c r="A83" s="345"/>
      <c r="B83" s="346">
        <f t="shared" si="8"/>
      </c>
      <c r="C83" s="346">
        <f aca="true" t="shared" si="14" ref="C83:C146">IF($A$18:$A$377&lt;&gt;"",I82,"")</f>
      </c>
      <c r="D83" s="346">
        <f t="shared" si="9"/>
      </c>
      <c r="E83" s="347" t="e">
        <f t="shared" si="10"/>
        <v>#VALUE!</v>
      </c>
      <c r="F83" s="348" t="e">
        <f t="shared" si="11"/>
        <v>#VALUE!</v>
      </c>
      <c r="G83" s="346">
        <f t="shared" si="12"/>
      </c>
      <c r="H83" s="346">
        <f aca="true" t="shared" si="15" ref="H83:H146">IF($A$18:$A$377&lt;&gt;"",$C$18:$C$377*$D$6/$D$8,"")</f>
      </c>
      <c r="I83" s="348" t="e">
        <f t="shared" si="13"/>
        <v>#VALUE!</v>
      </c>
      <c r="J83" s="348">
        <f>SUM($H$18:$H83)</f>
        <v>0</v>
      </c>
    </row>
    <row r="84" spans="1:10" ht="15" customHeight="1">
      <c r="A84" s="349"/>
      <c r="B84" s="346">
        <f t="shared" si="8"/>
      </c>
      <c r="C84" s="346">
        <f t="shared" si="14"/>
      </c>
      <c r="D84" s="346">
        <f t="shared" si="9"/>
      </c>
      <c r="E84" s="347" t="e">
        <f t="shared" si="10"/>
        <v>#VALUE!</v>
      </c>
      <c r="F84" s="348" t="e">
        <f t="shared" si="11"/>
        <v>#VALUE!</v>
      </c>
      <c r="G84" s="346">
        <f t="shared" si="12"/>
      </c>
      <c r="H84" s="346">
        <f t="shared" si="15"/>
      </c>
      <c r="I84" s="348" t="e">
        <f t="shared" si="13"/>
        <v>#VALUE!</v>
      </c>
      <c r="J84" s="348">
        <f>SUM($H$18:$H84)</f>
        <v>0</v>
      </c>
    </row>
    <row r="85" spans="1:10" ht="15" customHeight="1">
      <c r="A85" s="349"/>
      <c r="B85" s="346">
        <f t="shared" si="8"/>
      </c>
      <c r="C85" s="346">
        <f t="shared" si="14"/>
      </c>
      <c r="D85" s="346">
        <f t="shared" si="9"/>
      </c>
      <c r="E85" s="347" t="e">
        <f t="shared" si="10"/>
        <v>#VALUE!</v>
      </c>
      <c r="F85" s="348" t="e">
        <f t="shared" si="11"/>
        <v>#VALUE!</v>
      </c>
      <c r="G85" s="346">
        <f t="shared" si="12"/>
      </c>
      <c r="H85" s="346">
        <f t="shared" si="15"/>
      </c>
      <c r="I85" s="348" t="e">
        <f t="shared" si="13"/>
        <v>#VALUE!</v>
      </c>
      <c r="J85" s="348">
        <f>SUM($H$18:$H85)</f>
        <v>0</v>
      </c>
    </row>
    <row r="86" spans="1:10" ht="15" customHeight="1">
      <c r="A86" s="349"/>
      <c r="B86" s="346">
        <f t="shared" si="8"/>
      </c>
      <c r="C86" s="346">
        <f t="shared" si="14"/>
      </c>
      <c r="D86" s="346">
        <f t="shared" si="9"/>
      </c>
      <c r="E86" s="347" t="e">
        <f t="shared" si="10"/>
        <v>#VALUE!</v>
      </c>
      <c r="F86" s="348" t="e">
        <f t="shared" si="11"/>
        <v>#VALUE!</v>
      </c>
      <c r="G86" s="346">
        <f t="shared" si="12"/>
      </c>
      <c r="H86" s="346">
        <f t="shared" si="15"/>
      </c>
      <c r="I86" s="348" t="e">
        <f t="shared" si="13"/>
        <v>#VALUE!</v>
      </c>
      <c r="J86" s="348">
        <f>SUM($H$18:$H86)</f>
        <v>0</v>
      </c>
    </row>
    <row r="87" spans="1:10" ht="15" customHeight="1">
      <c r="A87" s="349"/>
      <c r="B87" s="346">
        <f t="shared" si="8"/>
      </c>
      <c r="C87" s="346">
        <f t="shared" si="14"/>
      </c>
      <c r="D87" s="346">
        <f t="shared" si="9"/>
      </c>
      <c r="E87" s="347" t="e">
        <f t="shared" si="10"/>
        <v>#VALUE!</v>
      </c>
      <c r="F87" s="348" t="e">
        <f t="shared" si="11"/>
        <v>#VALUE!</v>
      </c>
      <c r="G87" s="346">
        <f t="shared" si="12"/>
      </c>
      <c r="H87" s="346">
        <f t="shared" si="15"/>
      </c>
      <c r="I87" s="348" t="e">
        <f t="shared" si="13"/>
        <v>#VALUE!</v>
      </c>
      <c r="J87" s="348">
        <f>SUM($H$18:$H87)</f>
        <v>0</v>
      </c>
    </row>
    <row r="88" spans="1:10" ht="15" customHeight="1">
      <c r="A88" s="349"/>
      <c r="B88" s="346">
        <f t="shared" si="8"/>
      </c>
      <c r="C88" s="346">
        <f t="shared" si="14"/>
      </c>
      <c r="D88" s="346">
        <f t="shared" si="9"/>
      </c>
      <c r="E88" s="347" t="e">
        <f t="shared" si="10"/>
        <v>#VALUE!</v>
      </c>
      <c r="F88" s="348" t="e">
        <f t="shared" si="11"/>
        <v>#VALUE!</v>
      </c>
      <c r="G88" s="346">
        <f t="shared" si="12"/>
      </c>
      <c r="H88" s="346">
        <f t="shared" si="15"/>
      </c>
      <c r="I88" s="348" t="e">
        <f t="shared" si="13"/>
        <v>#VALUE!</v>
      </c>
      <c r="J88" s="348">
        <f>SUM($H$18:$H88)</f>
        <v>0</v>
      </c>
    </row>
    <row r="89" spans="1:10" ht="15" customHeight="1">
      <c r="A89" s="349"/>
      <c r="B89" s="346">
        <f t="shared" si="8"/>
      </c>
      <c r="C89" s="346">
        <f t="shared" si="14"/>
      </c>
      <c r="D89" s="346">
        <f t="shared" si="9"/>
      </c>
      <c r="E89" s="347" t="e">
        <f t="shared" si="10"/>
        <v>#VALUE!</v>
      </c>
      <c r="F89" s="348" t="e">
        <f t="shared" si="11"/>
        <v>#VALUE!</v>
      </c>
      <c r="G89" s="346">
        <f t="shared" si="12"/>
      </c>
      <c r="H89" s="346">
        <f t="shared" si="15"/>
      </c>
      <c r="I89" s="348" t="e">
        <f t="shared" si="13"/>
        <v>#VALUE!</v>
      </c>
      <c r="J89" s="348">
        <f>SUM($H$18:$H89)</f>
        <v>0</v>
      </c>
    </row>
    <row r="90" spans="1:10" ht="15" customHeight="1">
      <c r="A90" s="349"/>
      <c r="B90" s="346">
        <f t="shared" si="8"/>
      </c>
      <c r="C90" s="346">
        <f t="shared" si="14"/>
      </c>
      <c r="D90" s="346">
        <f t="shared" si="9"/>
      </c>
      <c r="E90" s="347" t="e">
        <f t="shared" si="10"/>
        <v>#VALUE!</v>
      </c>
      <c r="F90" s="348" t="e">
        <f t="shared" si="11"/>
        <v>#VALUE!</v>
      </c>
      <c r="G90" s="346">
        <f t="shared" si="12"/>
      </c>
      <c r="H90" s="346">
        <f t="shared" si="15"/>
      </c>
      <c r="I90" s="348" t="e">
        <f t="shared" si="13"/>
        <v>#VALUE!</v>
      </c>
      <c r="J90" s="348">
        <f>SUM($H$18:$H90)</f>
        <v>0</v>
      </c>
    </row>
    <row r="91" spans="1:10" ht="15" customHeight="1">
      <c r="A91" s="349"/>
      <c r="B91" s="346">
        <f t="shared" si="8"/>
      </c>
      <c r="C91" s="346">
        <f t="shared" si="14"/>
      </c>
      <c r="D91" s="346">
        <f t="shared" si="9"/>
      </c>
      <c r="E91" s="347" t="e">
        <f t="shared" si="10"/>
        <v>#VALUE!</v>
      </c>
      <c r="F91" s="348" t="e">
        <f t="shared" si="11"/>
        <v>#VALUE!</v>
      </c>
      <c r="G91" s="346">
        <f t="shared" si="12"/>
      </c>
      <c r="H91" s="346">
        <f t="shared" si="15"/>
      </c>
      <c r="I91" s="348" t="e">
        <f t="shared" si="13"/>
        <v>#VALUE!</v>
      </c>
      <c r="J91" s="348">
        <f>SUM($H$18:$H91)</f>
        <v>0</v>
      </c>
    </row>
    <row r="92" spans="1:10" ht="15" customHeight="1">
      <c r="A92" s="349"/>
      <c r="B92" s="346">
        <f t="shared" si="8"/>
      </c>
      <c r="C92" s="346">
        <f t="shared" si="14"/>
      </c>
      <c r="D92" s="346">
        <f t="shared" si="9"/>
      </c>
      <c r="E92" s="347" t="e">
        <f t="shared" si="10"/>
        <v>#VALUE!</v>
      </c>
      <c r="F92" s="348" t="e">
        <f t="shared" si="11"/>
        <v>#VALUE!</v>
      </c>
      <c r="G92" s="346">
        <f t="shared" si="12"/>
      </c>
      <c r="H92" s="346">
        <f t="shared" si="15"/>
      </c>
      <c r="I92" s="348" t="e">
        <f t="shared" si="13"/>
        <v>#VALUE!</v>
      </c>
      <c r="J92" s="348">
        <f>SUM($H$18:$H92)</f>
        <v>0</v>
      </c>
    </row>
    <row r="93" spans="1:10" ht="15" customHeight="1">
      <c r="A93" s="349"/>
      <c r="B93" s="346">
        <f t="shared" si="8"/>
      </c>
      <c r="C93" s="346">
        <f t="shared" si="14"/>
      </c>
      <c r="D93" s="346">
        <f t="shared" si="9"/>
      </c>
      <c r="E93" s="347" t="e">
        <f t="shared" si="10"/>
        <v>#VALUE!</v>
      </c>
      <c r="F93" s="348" t="e">
        <f t="shared" si="11"/>
        <v>#VALUE!</v>
      </c>
      <c r="G93" s="346">
        <f t="shared" si="12"/>
      </c>
      <c r="H93" s="346">
        <f t="shared" si="15"/>
      </c>
      <c r="I93" s="348" t="e">
        <f t="shared" si="13"/>
        <v>#VALUE!</v>
      </c>
      <c r="J93" s="348">
        <f>SUM($H$18:$H93)</f>
        <v>0</v>
      </c>
    </row>
    <row r="94" spans="1:10" ht="15" customHeight="1">
      <c r="A94" s="349"/>
      <c r="B94" s="346">
        <f t="shared" si="8"/>
      </c>
      <c r="C94" s="346">
        <f t="shared" si="14"/>
      </c>
      <c r="D94" s="346">
        <f t="shared" si="9"/>
      </c>
      <c r="E94" s="347" t="e">
        <f t="shared" si="10"/>
        <v>#VALUE!</v>
      </c>
      <c r="F94" s="348" t="e">
        <f t="shared" si="11"/>
        <v>#VALUE!</v>
      </c>
      <c r="G94" s="346">
        <f t="shared" si="12"/>
      </c>
      <c r="H94" s="346">
        <f t="shared" si="15"/>
      </c>
      <c r="I94" s="348" t="e">
        <f t="shared" si="13"/>
        <v>#VALUE!</v>
      </c>
      <c r="J94" s="348">
        <f>SUM($H$18:$H94)</f>
        <v>0</v>
      </c>
    </row>
    <row r="95" spans="1:10" ht="15" customHeight="1">
      <c r="A95" s="349"/>
      <c r="B95" s="346">
        <f t="shared" si="8"/>
      </c>
      <c r="C95" s="346">
        <f t="shared" si="14"/>
      </c>
      <c r="D95" s="346">
        <f t="shared" si="9"/>
      </c>
      <c r="E95" s="347" t="e">
        <f t="shared" si="10"/>
        <v>#VALUE!</v>
      </c>
      <c r="F95" s="348" t="e">
        <f t="shared" si="11"/>
        <v>#VALUE!</v>
      </c>
      <c r="G95" s="346">
        <f t="shared" si="12"/>
      </c>
      <c r="H95" s="346">
        <f t="shared" si="15"/>
      </c>
      <c r="I95" s="348" t="e">
        <f t="shared" si="13"/>
        <v>#VALUE!</v>
      </c>
      <c r="J95" s="348">
        <f>SUM($H$18:$H95)</f>
        <v>0</v>
      </c>
    </row>
    <row r="96" spans="1:10" ht="15" customHeight="1">
      <c r="A96" s="349"/>
      <c r="B96" s="346">
        <f t="shared" si="8"/>
      </c>
      <c r="C96" s="346">
        <f t="shared" si="14"/>
      </c>
      <c r="D96" s="346">
        <f t="shared" si="9"/>
      </c>
      <c r="E96" s="347" t="e">
        <f t="shared" si="10"/>
        <v>#VALUE!</v>
      </c>
      <c r="F96" s="348" t="e">
        <f t="shared" si="11"/>
        <v>#VALUE!</v>
      </c>
      <c r="G96" s="346">
        <f t="shared" si="12"/>
      </c>
      <c r="H96" s="346">
        <f t="shared" si="15"/>
      </c>
      <c r="I96" s="348" t="e">
        <f t="shared" si="13"/>
        <v>#VALUE!</v>
      </c>
      <c r="J96" s="348">
        <f>SUM($H$18:$H96)</f>
        <v>0</v>
      </c>
    </row>
    <row r="97" spans="1:10" ht="15" customHeight="1">
      <c r="A97" s="349"/>
      <c r="B97" s="346">
        <f t="shared" si="8"/>
      </c>
      <c r="C97" s="346">
        <f t="shared" si="14"/>
      </c>
      <c r="D97" s="346">
        <f t="shared" si="9"/>
      </c>
      <c r="E97" s="347" t="e">
        <f t="shared" si="10"/>
        <v>#VALUE!</v>
      </c>
      <c r="F97" s="348" t="e">
        <f t="shared" si="11"/>
        <v>#VALUE!</v>
      </c>
      <c r="G97" s="346">
        <f t="shared" si="12"/>
      </c>
      <c r="H97" s="346">
        <f t="shared" si="15"/>
      </c>
      <c r="I97" s="348" t="e">
        <f t="shared" si="13"/>
        <v>#VALUE!</v>
      </c>
      <c r="J97" s="348">
        <f>SUM($H$18:$H97)</f>
        <v>0</v>
      </c>
    </row>
    <row r="98" spans="1:10" ht="15" customHeight="1">
      <c r="A98" s="349"/>
      <c r="B98" s="346">
        <f t="shared" si="8"/>
      </c>
      <c r="C98" s="346">
        <f t="shared" si="14"/>
      </c>
      <c r="D98" s="346">
        <f t="shared" si="9"/>
      </c>
      <c r="E98" s="347" t="e">
        <f t="shared" si="10"/>
        <v>#VALUE!</v>
      </c>
      <c r="F98" s="348" t="e">
        <f t="shared" si="11"/>
        <v>#VALUE!</v>
      </c>
      <c r="G98" s="346">
        <f t="shared" si="12"/>
      </c>
      <c r="H98" s="346">
        <f t="shared" si="15"/>
      </c>
      <c r="I98" s="348" t="e">
        <f t="shared" si="13"/>
        <v>#VALUE!</v>
      </c>
      <c r="J98" s="348">
        <f>SUM($H$18:$H98)</f>
        <v>0</v>
      </c>
    </row>
    <row r="99" spans="1:10" ht="15" customHeight="1">
      <c r="A99" s="349"/>
      <c r="B99" s="346">
        <f t="shared" si="8"/>
      </c>
      <c r="C99" s="346">
        <f t="shared" si="14"/>
      </c>
      <c r="D99" s="346">
        <f t="shared" si="9"/>
      </c>
      <c r="E99" s="347" t="e">
        <f t="shared" si="10"/>
        <v>#VALUE!</v>
      </c>
      <c r="F99" s="348" t="e">
        <f t="shared" si="11"/>
        <v>#VALUE!</v>
      </c>
      <c r="G99" s="346">
        <f t="shared" si="12"/>
      </c>
      <c r="H99" s="346">
        <f t="shared" si="15"/>
      </c>
      <c r="I99" s="348" t="e">
        <f t="shared" si="13"/>
        <v>#VALUE!</v>
      </c>
      <c r="J99" s="348">
        <f>SUM($H$18:$H99)</f>
        <v>0</v>
      </c>
    </row>
    <row r="100" spans="1:10" ht="15" customHeight="1">
      <c r="A100" s="349"/>
      <c r="B100" s="346">
        <f t="shared" si="8"/>
      </c>
      <c r="C100" s="346">
        <f t="shared" si="14"/>
      </c>
      <c r="D100" s="346">
        <f t="shared" si="9"/>
      </c>
      <c r="E100" s="347" t="e">
        <f t="shared" si="10"/>
        <v>#VALUE!</v>
      </c>
      <c r="F100" s="348" t="e">
        <f t="shared" si="11"/>
        <v>#VALUE!</v>
      </c>
      <c r="G100" s="346">
        <f t="shared" si="12"/>
      </c>
      <c r="H100" s="346">
        <f t="shared" si="15"/>
      </c>
      <c r="I100" s="348" t="e">
        <f t="shared" si="13"/>
        <v>#VALUE!</v>
      </c>
      <c r="J100" s="348">
        <f>SUM($H$18:$H100)</f>
        <v>0</v>
      </c>
    </row>
    <row r="101" spans="1:10" ht="15" customHeight="1">
      <c r="A101" s="349"/>
      <c r="B101" s="346">
        <f t="shared" si="8"/>
      </c>
      <c r="C101" s="346">
        <f t="shared" si="14"/>
      </c>
      <c r="D101" s="346">
        <f t="shared" si="9"/>
      </c>
      <c r="E101" s="347" t="e">
        <f t="shared" si="10"/>
        <v>#VALUE!</v>
      </c>
      <c r="F101" s="348" t="e">
        <f t="shared" si="11"/>
        <v>#VALUE!</v>
      </c>
      <c r="G101" s="346">
        <f t="shared" si="12"/>
      </c>
      <c r="H101" s="346">
        <f t="shared" si="15"/>
      </c>
      <c r="I101" s="348" t="e">
        <f t="shared" si="13"/>
        <v>#VALUE!</v>
      </c>
      <c r="J101" s="348">
        <f>SUM($H$18:$H101)</f>
        <v>0</v>
      </c>
    </row>
    <row r="102" spans="1:10" ht="15" customHeight="1">
      <c r="A102" s="349"/>
      <c r="B102" s="346">
        <f t="shared" si="8"/>
      </c>
      <c r="C102" s="346">
        <f t="shared" si="14"/>
      </c>
      <c r="D102" s="346">
        <f t="shared" si="9"/>
      </c>
      <c r="E102" s="347" t="e">
        <f t="shared" si="10"/>
        <v>#VALUE!</v>
      </c>
      <c r="F102" s="348" t="e">
        <f t="shared" si="11"/>
        <v>#VALUE!</v>
      </c>
      <c r="G102" s="346">
        <f t="shared" si="12"/>
      </c>
      <c r="H102" s="346">
        <f t="shared" si="15"/>
      </c>
      <c r="I102" s="348" t="e">
        <f t="shared" si="13"/>
        <v>#VALUE!</v>
      </c>
      <c r="J102" s="348">
        <f>SUM($H$18:$H102)</f>
        <v>0</v>
      </c>
    </row>
    <row r="103" spans="1:10" ht="15" customHeight="1">
      <c r="A103" s="349"/>
      <c r="B103" s="346">
        <f t="shared" si="8"/>
      </c>
      <c r="C103" s="346">
        <f t="shared" si="14"/>
      </c>
      <c r="D103" s="346">
        <f t="shared" si="9"/>
      </c>
      <c r="E103" s="347" t="e">
        <f t="shared" si="10"/>
        <v>#VALUE!</v>
      </c>
      <c r="F103" s="348" t="e">
        <f t="shared" si="11"/>
        <v>#VALUE!</v>
      </c>
      <c r="G103" s="346">
        <f t="shared" si="12"/>
      </c>
      <c r="H103" s="346">
        <f t="shared" si="15"/>
      </c>
      <c r="I103" s="348" t="e">
        <f t="shared" si="13"/>
        <v>#VALUE!</v>
      </c>
      <c r="J103" s="348">
        <f>SUM($H$18:$H103)</f>
        <v>0</v>
      </c>
    </row>
    <row r="104" spans="1:10" ht="15" customHeight="1">
      <c r="A104" s="349"/>
      <c r="B104" s="346">
        <f t="shared" si="8"/>
      </c>
      <c r="C104" s="346">
        <f t="shared" si="14"/>
      </c>
      <c r="D104" s="346">
        <f t="shared" si="9"/>
      </c>
      <c r="E104" s="347" t="e">
        <f t="shared" si="10"/>
        <v>#VALUE!</v>
      </c>
      <c r="F104" s="348" t="e">
        <f t="shared" si="11"/>
        <v>#VALUE!</v>
      </c>
      <c r="G104" s="346">
        <f t="shared" si="12"/>
      </c>
      <c r="H104" s="346">
        <f t="shared" si="15"/>
      </c>
      <c r="I104" s="348" t="e">
        <f t="shared" si="13"/>
        <v>#VALUE!</v>
      </c>
      <c r="J104" s="348">
        <f>SUM($H$18:$H104)</f>
        <v>0</v>
      </c>
    </row>
    <row r="105" spans="1:10" ht="15" customHeight="1">
      <c r="A105" s="349"/>
      <c r="B105" s="346">
        <f t="shared" si="8"/>
      </c>
      <c r="C105" s="346">
        <f t="shared" si="14"/>
      </c>
      <c r="D105" s="346">
        <f t="shared" si="9"/>
      </c>
      <c r="E105" s="347" t="e">
        <f t="shared" si="10"/>
        <v>#VALUE!</v>
      </c>
      <c r="F105" s="348" t="e">
        <f t="shared" si="11"/>
        <v>#VALUE!</v>
      </c>
      <c r="G105" s="346">
        <f t="shared" si="12"/>
      </c>
      <c r="H105" s="346">
        <f t="shared" si="15"/>
      </c>
      <c r="I105" s="348" t="e">
        <f t="shared" si="13"/>
        <v>#VALUE!</v>
      </c>
      <c r="J105" s="348">
        <f>SUM($H$18:$H105)</f>
        <v>0</v>
      </c>
    </row>
    <row r="106" spans="1:10" ht="15" customHeight="1">
      <c r="A106" s="349"/>
      <c r="B106" s="346">
        <f t="shared" si="8"/>
      </c>
      <c r="C106" s="346">
        <f t="shared" si="14"/>
      </c>
      <c r="D106" s="346">
        <f t="shared" si="9"/>
      </c>
      <c r="E106" s="347" t="e">
        <f t="shared" si="10"/>
        <v>#VALUE!</v>
      </c>
      <c r="F106" s="348" t="e">
        <f t="shared" si="11"/>
        <v>#VALUE!</v>
      </c>
      <c r="G106" s="346">
        <f t="shared" si="12"/>
      </c>
      <c r="H106" s="346">
        <f t="shared" si="15"/>
      </c>
      <c r="I106" s="348" t="e">
        <f t="shared" si="13"/>
        <v>#VALUE!</v>
      </c>
      <c r="J106" s="348">
        <f>SUM($H$18:$H106)</f>
        <v>0</v>
      </c>
    </row>
    <row r="107" spans="1:10" ht="15" customHeight="1">
      <c r="A107" s="349"/>
      <c r="B107" s="346">
        <f t="shared" si="8"/>
      </c>
      <c r="C107" s="346">
        <f t="shared" si="14"/>
      </c>
      <c r="D107" s="346">
        <f t="shared" si="9"/>
      </c>
      <c r="E107" s="347" t="e">
        <f t="shared" si="10"/>
        <v>#VALUE!</v>
      </c>
      <c r="F107" s="348" t="e">
        <f t="shared" si="11"/>
        <v>#VALUE!</v>
      </c>
      <c r="G107" s="346">
        <f t="shared" si="12"/>
      </c>
      <c r="H107" s="346">
        <f t="shared" si="15"/>
      </c>
      <c r="I107" s="348" t="e">
        <f t="shared" si="13"/>
        <v>#VALUE!</v>
      </c>
      <c r="J107" s="348">
        <f>SUM($H$18:$H107)</f>
        <v>0</v>
      </c>
    </row>
    <row r="108" spans="1:10" ht="15" customHeight="1">
      <c r="A108" s="349"/>
      <c r="B108" s="346">
        <f t="shared" si="8"/>
      </c>
      <c r="C108" s="346">
        <f t="shared" si="14"/>
      </c>
      <c r="D108" s="346">
        <f t="shared" si="9"/>
      </c>
      <c r="E108" s="347" t="e">
        <f t="shared" si="10"/>
        <v>#VALUE!</v>
      </c>
      <c r="F108" s="348" t="e">
        <f t="shared" si="11"/>
        <v>#VALUE!</v>
      </c>
      <c r="G108" s="346">
        <f t="shared" si="12"/>
      </c>
      <c r="H108" s="346">
        <f t="shared" si="15"/>
      </c>
      <c r="I108" s="348" t="e">
        <f t="shared" si="13"/>
        <v>#VALUE!</v>
      </c>
      <c r="J108" s="348">
        <f>SUM($H$18:$H108)</f>
        <v>0</v>
      </c>
    </row>
    <row r="109" spans="1:10" ht="15" customHeight="1">
      <c r="A109" s="349"/>
      <c r="B109" s="346">
        <f t="shared" si="8"/>
      </c>
      <c r="C109" s="346">
        <f t="shared" si="14"/>
      </c>
      <c r="D109" s="346">
        <f t="shared" si="9"/>
      </c>
      <c r="E109" s="347" t="e">
        <f t="shared" si="10"/>
        <v>#VALUE!</v>
      </c>
      <c r="F109" s="348" t="e">
        <f t="shared" si="11"/>
        <v>#VALUE!</v>
      </c>
      <c r="G109" s="346">
        <f t="shared" si="12"/>
      </c>
      <c r="H109" s="346">
        <f t="shared" si="15"/>
      </c>
      <c r="I109" s="348" t="e">
        <f t="shared" si="13"/>
        <v>#VALUE!</v>
      </c>
      <c r="J109" s="348">
        <f>SUM($H$18:$H109)</f>
        <v>0</v>
      </c>
    </row>
    <row r="110" spans="1:10" ht="15" customHeight="1">
      <c r="A110" s="349"/>
      <c r="B110" s="346">
        <f t="shared" si="8"/>
      </c>
      <c r="C110" s="346">
        <f t="shared" si="14"/>
      </c>
      <c r="D110" s="346">
        <f t="shared" si="9"/>
      </c>
      <c r="E110" s="347" t="e">
        <f t="shared" si="10"/>
        <v>#VALUE!</v>
      </c>
      <c r="F110" s="348" t="e">
        <f t="shared" si="11"/>
        <v>#VALUE!</v>
      </c>
      <c r="G110" s="346">
        <f t="shared" si="12"/>
      </c>
      <c r="H110" s="346">
        <f t="shared" si="15"/>
      </c>
      <c r="I110" s="348" t="e">
        <f t="shared" si="13"/>
        <v>#VALUE!</v>
      </c>
      <c r="J110" s="348">
        <f>SUM($H$18:$H110)</f>
        <v>0</v>
      </c>
    </row>
    <row r="111" spans="1:10" ht="15" customHeight="1">
      <c r="A111" s="349"/>
      <c r="B111" s="346">
        <f t="shared" si="8"/>
      </c>
      <c r="C111" s="346">
        <f t="shared" si="14"/>
      </c>
      <c r="D111" s="346">
        <f t="shared" si="9"/>
      </c>
      <c r="E111" s="347" t="e">
        <f t="shared" si="10"/>
        <v>#VALUE!</v>
      </c>
      <c r="F111" s="348" t="e">
        <f t="shared" si="11"/>
        <v>#VALUE!</v>
      </c>
      <c r="G111" s="346">
        <f t="shared" si="12"/>
      </c>
      <c r="H111" s="346">
        <f t="shared" si="15"/>
      </c>
      <c r="I111" s="348" t="e">
        <f t="shared" si="13"/>
        <v>#VALUE!</v>
      </c>
      <c r="J111" s="348">
        <f>SUM($H$18:$H111)</f>
        <v>0</v>
      </c>
    </row>
    <row r="112" spans="1:10" ht="15" customHeight="1">
      <c r="A112" s="349"/>
      <c r="B112" s="346">
        <f t="shared" si="8"/>
      </c>
      <c r="C112" s="346">
        <f t="shared" si="14"/>
      </c>
      <c r="D112" s="346">
        <f t="shared" si="9"/>
      </c>
      <c r="E112" s="347" t="e">
        <f t="shared" si="10"/>
        <v>#VALUE!</v>
      </c>
      <c r="F112" s="348" t="e">
        <f t="shared" si="11"/>
        <v>#VALUE!</v>
      </c>
      <c r="G112" s="346">
        <f t="shared" si="12"/>
      </c>
      <c r="H112" s="346">
        <f t="shared" si="15"/>
      </c>
      <c r="I112" s="348" t="e">
        <f t="shared" si="13"/>
        <v>#VALUE!</v>
      </c>
      <c r="J112" s="348">
        <f>SUM($H$18:$H112)</f>
        <v>0</v>
      </c>
    </row>
    <row r="113" spans="1:10" ht="15" customHeight="1">
      <c r="A113" s="349"/>
      <c r="B113" s="346">
        <f t="shared" si="8"/>
      </c>
      <c r="C113" s="346">
        <f t="shared" si="14"/>
      </c>
      <c r="D113" s="346">
        <f t="shared" si="9"/>
      </c>
      <c r="E113" s="347" t="e">
        <f t="shared" si="10"/>
        <v>#VALUE!</v>
      </c>
      <c r="F113" s="348" t="e">
        <f t="shared" si="11"/>
        <v>#VALUE!</v>
      </c>
      <c r="G113" s="346">
        <f t="shared" si="12"/>
      </c>
      <c r="H113" s="346">
        <f t="shared" si="15"/>
      </c>
      <c r="I113" s="348" t="e">
        <f t="shared" si="13"/>
        <v>#VALUE!</v>
      </c>
      <c r="J113" s="348">
        <f>SUM($H$18:$H113)</f>
        <v>0</v>
      </c>
    </row>
    <row r="114" spans="1:10" ht="15" customHeight="1">
      <c r="A114" s="349"/>
      <c r="B114" s="346">
        <f t="shared" si="8"/>
      </c>
      <c r="C114" s="346">
        <f t="shared" si="14"/>
      </c>
      <c r="D114" s="346">
        <f t="shared" si="9"/>
      </c>
      <c r="E114" s="347" t="e">
        <f t="shared" si="10"/>
        <v>#VALUE!</v>
      </c>
      <c r="F114" s="348" t="e">
        <f t="shared" si="11"/>
        <v>#VALUE!</v>
      </c>
      <c r="G114" s="346">
        <f t="shared" si="12"/>
      </c>
      <c r="H114" s="346">
        <f t="shared" si="15"/>
      </c>
      <c r="I114" s="348" t="e">
        <f t="shared" si="13"/>
        <v>#VALUE!</v>
      </c>
      <c r="J114" s="348">
        <f>SUM($H$18:$H114)</f>
        <v>0</v>
      </c>
    </row>
    <row r="115" spans="1:10" ht="15" customHeight="1">
      <c r="A115" s="349"/>
      <c r="B115" s="346">
        <f t="shared" si="8"/>
      </c>
      <c r="C115" s="346">
        <f t="shared" si="14"/>
      </c>
      <c r="D115" s="346">
        <f t="shared" si="9"/>
      </c>
      <c r="E115" s="347" t="e">
        <f t="shared" si="10"/>
        <v>#VALUE!</v>
      </c>
      <c r="F115" s="348" t="e">
        <f t="shared" si="11"/>
        <v>#VALUE!</v>
      </c>
      <c r="G115" s="346">
        <f t="shared" si="12"/>
      </c>
      <c r="H115" s="346">
        <f t="shared" si="15"/>
      </c>
      <c r="I115" s="348" t="e">
        <f t="shared" si="13"/>
        <v>#VALUE!</v>
      </c>
      <c r="J115" s="348">
        <f>SUM($H$18:$H115)</f>
        <v>0</v>
      </c>
    </row>
    <row r="116" spans="1:10" ht="15" customHeight="1">
      <c r="A116" s="349"/>
      <c r="B116" s="346">
        <f t="shared" si="8"/>
      </c>
      <c r="C116" s="346">
        <f t="shared" si="14"/>
      </c>
      <c r="D116" s="346">
        <f t="shared" si="9"/>
      </c>
      <c r="E116" s="347" t="e">
        <f t="shared" si="10"/>
        <v>#VALUE!</v>
      </c>
      <c r="F116" s="348" t="e">
        <f t="shared" si="11"/>
        <v>#VALUE!</v>
      </c>
      <c r="G116" s="346">
        <f t="shared" si="12"/>
      </c>
      <c r="H116" s="346">
        <f t="shared" si="15"/>
      </c>
      <c r="I116" s="348" t="e">
        <f t="shared" si="13"/>
        <v>#VALUE!</v>
      </c>
      <c r="J116" s="348">
        <f>SUM($H$18:$H116)</f>
        <v>0</v>
      </c>
    </row>
    <row r="117" spans="1:10" ht="15" customHeight="1">
      <c r="A117" s="349"/>
      <c r="B117" s="346">
        <f t="shared" si="8"/>
      </c>
      <c r="C117" s="346">
        <f t="shared" si="14"/>
      </c>
      <c r="D117" s="346">
        <f t="shared" si="9"/>
      </c>
      <c r="E117" s="347" t="e">
        <f t="shared" si="10"/>
        <v>#VALUE!</v>
      </c>
      <c r="F117" s="348" t="e">
        <f t="shared" si="11"/>
        <v>#VALUE!</v>
      </c>
      <c r="G117" s="346">
        <f t="shared" si="12"/>
      </c>
      <c r="H117" s="346">
        <f t="shared" si="15"/>
      </c>
      <c r="I117" s="348" t="e">
        <f t="shared" si="13"/>
        <v>#VALUE!</v>
      </c>
      <c r="J117" s="348">
        <f>SUM($H$18:$H117)</f>
        <v>0</v>
      </c>
    </row>
    <row r="118" spans="1:10" ht="15" customHeight="1">
      <c r="A118" s="349"/>
      <c r="B118" s="346">
        <f t="shared" si="8"/>
      </c>
      <c r="C118" s="346">
        <f t="shared" si="14"/>
      </c>
      <c r="D118" s="346">
        <f t="shared" si="9"/>
      </c>
      <c r="E118" s="347" t="e">
        <f t="shared" si="10"/>
        <v>#VALUE!</v>
      </c>
      <c r="F118" s="348" t="e">
        <f t="shared" si="11"/>
        <v>#VALUE!</v>
      </c>
      <c r="G118" s="346">
        <f t="shared" si="12"/>
      </c>
      <c r="H118" s="346">
        <f t="shared" si="15"/>
      </c>
      <c r="I118" s="348" t="e">
        <f t="shared" si="13"/>
        <v>#VALUE!</v>
      </c>
      <c r="J118" s="348">
        <f>SUM($H$18:$H118)</f>
        <v>0</v>
      </c>
    </row>
    <row r="119" spans="1:10" ht="15" customHeight="1">
      <c r="A119" s="349"/>
      <c r="B119" s="346">
        <f t="shared" si="8"/>
      </c>
      <c r="C119" s="346">
        <f t="shared" si="14"/>
      </c>
      <c r="D119" s="346">
        <f t="shared" si="9"/>
      </c>
      <c r="E119" s="347" t="e">
        <f t="shared" si="10"/>
        <v>#VALUE!</v>
      </c>
      <c r="F119" s="348" t="e">
        <f t="shared" si="11"/>
        <v>#VALUE!</v>
      </c>
      <c r="G119" s="346">
        <f t="shared" si="12"/>
      </c>
      <c r="H119" s="346">
        <f t="shared" si="15"/>
      </c>
      <c r="I119" s="348" t="e">
        <f t="shared" si="13"/>
        <v>#VALUE!</v>
      </c>
      <c r="J119" s="348">
        <f>SUM($H$18:$H119)</f>
        <v>0</v>
      </c>
    </row>
    <row r="120" spans="1:10" ht="15" customHeight="1">
      <c r="A120" s="349"/>
      <c r="B120" s="346">
        <f t="shared" si="8"/>
      </c>
      <c r="C120" s="346">
        <f t="shared" si="14"/>
      </c>
      <c r="D120" s="346">
        <f t="shared" si="9"/>
      </c>
      <c r="E120" s="347" t="e">
        <f t="shared" si="10"/>
        <v>#VALUE!</v>
      </c>
      <c r="F120" s="348" t="e">
        <f t="shared" si="11"/>
        <v>#VALUE!</v>
      </c>
      <c r="G120" s="346">
        <f t="shared" si="12"/>
      </c>
      <c r="H120" s="346">
        <f t="shared" si="15"/>
      </c>
      <c r="I120" s="348" t="e">
        <f t="shared" si="13"/>
        <v>#VALUE!</v>
      </c>
      <c r="J120" s="348">
        <f>SUM($H$18:$H120)</f>
        <v>0</v>
      </c>
    </row>
    <row r="121" spans="1:10" ht="15" customHeight="1">
      <c r="A121" s="349"/>
      <c r="B121" s="346">
        <f t="shared" si="8"/>
      </c>
      <c r="C121" s="346">
        <f t="shared" si="14"/>
      </c>
      <c r="D121" s="346">
        <f t="shared" si="9"/>
      </c>
      <c r="E121" s="347" t="e">
        <f t="shared" si="10"/>
        <v>#VALUE!</v>
      </c>
      <c r="F121" s="348" t="e">
        <f t="shared" si="11"/>
        <v>#VALUE!</v>
      </c>
      <c r="G121" s="346">
        <f t="shared" si="12"/>
      </c>
      <c r="H121" s="346">
        <f t="shared" si="15"/>
      </c>
      <c r="I121" s="348" t="e">
        <f t="shared" si="13"/>
        <v>#VALUE!</v>
      </c>
      <c r="J121" s="348">
        <f>SUM($H$18:$H121)</f>
        <v>0</v>
      </c>
    </row>
    <row r="122" spans="1:10" ht="15" customHeight="1">
      <c r="A122" s="349"/>
      <c r="B122" s="346">
        <f t="shared" si="8"/>
      </c>
      <c r="C122" s="346">
        <f t="shared" si="14"/>
      </c>
      <c r="D122" s="346">
        <f t="shared" si="9"/>
      </c>
      <c r="E122" s="347" t="e">
        <f t="shared" si="10"/>
        <v>#VALUE!</v>
      </c>
      <c r="F122" s="348" t="e">
        <f t="shared" si="11"/>
        <v>#VALUE!</v>
      </c>
      <c r="G122" s="346">
        <f t="shared" si="12"/>
      </c>
      <c r="H122" s="346">
        <f t="shared" si="15"/>
      </c>
      <c r="I122" s="348" t="e">
        <f t="shared" si="13"/>
        <v>#VALUE!</v>
      </c>
      <c r="J122" s="348">
        <f>SUM($H$18:$H122)</f>
        <v>0</v>
      </c>
    </row>
    <row r="123" spans="1:10" ht="15" customHeight="1">
      <c r="A123" s="349"/>
      <c r="B123" s="346">
        <f t="shared" si="8"/>
      </c>
      <c r="C123" s="346">
        <f t="shared" si="14"/>
      </c>
      <c r="D123" s="346">
        <f t="shared" si="9"/>
      </c>
      <c r="E123" s="347" t="e">
        <f t="shared" si="10"/>
        <v>#VALUE!</v>
      </c>
      <c r="F123" s="348" t="e">
        <f t="shared" si="11"/>
        <v>#VALUE!</v>
      </c>
      <c r="G123" s="346">
        <f t="shared" si="12"/>
      </c>
      <c r="H123" s="346">
        <f t="shared" si="15"/>
      </c>
      <c r="I123" s="348" t="e">
        <f t="shared" si="13"/>
        <v>#VALUE!</v>
      </c>
      <c r="J123" s="348">
        <f>SUM($H$18:$H123)</f>
        <v>0</v>
      </c>
    </row>
    <row r="124" spans="1:10" ht="15" customHeight="1">
      <c r="A124" s="349"/>
      <c r="B124" s="346">
        <f t="shared" si="8"/>
      </c>
      <c r="C124" s="346">
        <f t="shared" si="14"/>
      </c>
      <c r="D124" s="346">
        <f t="shared" si="9"/>
      </c>
      <c r="E124" s="347" t="e">
        <f t="shared" si="10"/>
        <v>#VALUE!</v>
      </c>
      <c r="F124" s="348" t="e">
        <f t="shared" si="11"/>
        <v>#VALUE!</v>
      </c>
      <c r="G124" s="346">
        <f t="shared" si="12"/>
      </c>
      <c r="H124" s="346">
        <f t="shared" si="15"/>
      </c>
      <c r="I124" s="348" t="e">
        <f t="shared" si="13"/>
        <v>#VALUE!</v>
      </c>
      <c r="J124" s="348">
        <f>SUM($H$18:$H124)</f>
        <v>0</v>
      </c>
    </row>
    <row r="125" spans="1:10" ht="15" customHeight="1">
      <c r="A125" s="349"/>
      <c r="B125" s="346">
        <f t="shared" si="8"/>
      </c>
      <c r="C125" s="346">
        <f t="shared" si="14"/>
      </c>
      <c r="D125" s="346">
        <f t="shared" si="9"/>
      </c>
      <c r="E125" s="347" t="e">
        <f t="shared" si="10"/>
        <v>#VALUE!</v>
      </c>
      <c r="F125" s="348" t="e">
        <f t="shared" si="11"/>
        <v>#VALUE!</v>
      </c>
      <c r="G125" s="346">
        <f t="shared" si="12"/>
      </c>
      <c r="H125" s="346">
        <f t="shared" si="15"/>
      </c>
      <c r="I125" s="348" t="e">
        <f t="shared" si="13"/>
        <v>#VALUE!</v>
      </c>
      <c r="J125" s="348">
        <f>SUM($H$18:$H125)</f>
        <v>0</v>
      </c>
    </row>
    <row r="126" spans="1:10" ht="15" customHeight="1">
      <c r="A126" s="349"/>
      <c r="B126" s="346">
        <f t="shared" si="8"/>
      </c>
      <c r="C126" s="346">
        <f t="shared" si="14"/>
      </c>
      <c r="D126" s="346">
        <f t="shared" si="9"/>
      </c>
      <c r="E126" s="347" t="e">
        <f t="shared" si="10"/>
        <v>#VALUE!</v>
      </c>
      <c r="F126" s="348" t="e">
        <f t="shared" si="11"/>
        <v>#VALUE!</v>
      </c>
      <c r="G126" s="346">
        <f t="shared" si="12"/>
      </c>
      <c r="H126" s="346">
        <f t="shared" si="15"/>
      </c>
      <c r="I126" s="348" t="e">
        <f t="shared" si="13"/>
        <v>#VALUE!</v>
      </c>
      <c r="J126" s="348">
        <f>SUM($H$18:$H126)</f>
        <v>0</v>
      </c>
    </row>
    <row r="127" spans="1:10" ht="15" customHeight="1">
      <c r="A127" s="349"/>
      <c r="B127" s="346">
        <f t="shared" si="8"/>
      </c>
      <c r="C127" s="346">
        <f t="shared" si="14"/>
      </c>
      <c r="D127" s="346">
        <f t="shared" si="9"/>
      </c>
      <c r="E127" s="347" t="e">
        <f t="shared" si="10"/>
        <v>#VALUE!</v>
      </c>
      <c r="F127" s="348" t="e">
        <f t="shared" si="11"/>
        <v>#VALUE!</v>
      </c>
      <c r="G127" s="346">
        <f t="shared" si="12"/>
      </c>
      <c r="H127" s="346">
        <f t="shared" si="15"/>
      </c>
      <c r="I127" s="348" t="e">
        <f t="shared" si="13"/>
        <v>#VALUE!</v>
      </c>
      <c r="J127" s="348">
        <f>SUM($H$18:$H127)</f>
        <v>0</v>
      </c>
    </row>
    <row r="128" spans="1:10" ht="15" customHeight="1">
      <c r="A128" s="349"/>
      <c r="B128" s="346">
        <f t="shared" si="8"/>
      </c>
      <c r="C128" s="346">
        <f t="shared" si="14"/>
      </c>
      <c r="D128" s="346">
        <f t="shared" si="9"/>
      </c>
      <c r="E128" s="347" t="e">
        <f t="shared" si="10"/>
        <v>#VALUE!</v>
      </c>
      <c r="F128" s="348" t="e">
        <f t="shared" si="11"/>
        <v>#VALUE!</v>
      </c>
      <c r="G128" s="346">
        <f t="shared" si="12"/>
      </c>
      <c r="H128" s="346">
        <f t="shared" si="15"/>
      </c>
      <c r="I128" s="348" t="e">
        <f t="shared" si="13"/>
        <v>#VALUE!</v>
      </c>
      <c r="J128" s="348">
        <f>SUM($H$18:$H128)</f>
        <v>0</v>
      </c>
    </row>
    <row r="129" spans="1:10" ht="15" customHeight="1">
      <c r="A129" s="349"/>
      <c r="B129" s="346">
        <f t="shared" si="8"/>
      </c>
      <c r="C129" s="346">
        <f t="shared" si="14"/>
      </c>
      <c r="D129" s="346">
        <f t="shared" si="9"/>
      </c>
      <c r="E129" s="347" t="e">
        <f t="shared" si="10"/>
        <v>#VALUE!</v>
      </c>
      <c r="F129" s="348" t="e">
        <f t="shared" si="11"/>
        <v>#VALUE!</v>
      </c>
      <c r="G129" s="346">
        <f t="shared" si="12"/>
      </c>
      <c r="H129" s="346">
        <f t="shared" si="15"/>
      </c>
      <c r="I129" s="348" t="e">
        <f t="shared" si="13"/>
        <v>#VALUE!</v>
      </c>
      <c r="J129" s="348">
        <f>SUM($H$18:$H129)</f>
        <v>0</v>
      </c>
    </row>
    <row r="130" spans="1:10" ht="15" customHeight="1">
      <c r="A130" s="349"/>
      <c r="B130" s="346">
        <f t="shared" si="8"/>
      </c>
      <c r="C130" s="346">
        <f t="shared" si="14"/>
      </c>
      <c r="D130" s="346">
        <f t="shared" si="9"/>
      </c>
      <c r="E130" s="347" t="e">
        <f t="shared" si="10"/>
        <v>#VALUE!</v>
      </c>
      <c r="F130" s="348" t="e">
        <f t="shared" si="11"/>
        <v>#VALUE!</v>
      </c>
      <c r="G130" s="346">
        <f t="shared" si="12"/>
      </c>
      <c r="H130" s="346">
        <f t="shared" si="15"/>
      </c>
      <c r="I130" s="348" t="e">
        <f t="shared" si="13"/>
        <v>#VALUE!</v>
      </c>
      <c r="J130" s="348">
        <f>SUM($H$18:$H130)</f>
        <v>0</v>
      </c>
    </row>
    <row r="131" spans="1:10" ht="15" customHeight="1">
      <c r="A131" s="349"/>
      <c r="B131" s="346">
        <f t="shared" si="8"/>
      </c>
      <c r="C131" s="346">
        <f t="shared" si="14"/>
      </c>
      <c r="D131" s="346">
        <f t="shared" si="9"/>
      </c>
      <c r="E131" s="347" t="e">
        <f t="shared" si="10"/>
        <v>#VALUE!</v>
      </c>
      <c r="F131" s="348" t="e">
        <f t="shared" si="11"/>
        <v>#VALUE!</v>
      </c>
      <c r="G131" s="346">
        <f t="shared" si="12"/>
      </c>
      <c r="H131" s="346">
        <f t="shared" si="15"/>
      </c>
      <c r="I131" s="348" t="e">
        <f t="shared" si="13"/>
        <v>#VALUE!</v>
      </c>
      <c r="J131" s="348">
        <f>SUM($H$18:$H131)</f>
        <v>0</v>
      </c>
    </row>
    <row r="132" spans="1:10" ht="15" customHeight="1">
      <c r="A132" s="349"/>
      <c r="B132" s="346">
        <f t="shared" si="8"/>
      </c>
      <c r="C132" s="346">
        <f t="shared" si="14"/>
      </c>
      <c r="D132" s="346">
        <f t="shared" si="9"/>
      </c>
      <c r="E132" s="347" t="e">
        <f t="shared" si="10"/>
        <v>#VALUE!</v>
      </c>
      <c r="F132" s="348" t="e">
        <f t="shared" si="11"/>
        <v>#VALUE!</v>
      </c>
      <c r="G132" s="346">
        <f t="shared" si="12"/>
      </c>
      <c r="H132" s="346">
        <f t="shared" si="15"/>
      </c>
      <c r="I132" s="348" t="e">
        <f t="shared" si="13"/>
        <v>#VALUE!</v>
      </c>
      <c r="J132" s="348">
        <f>SUM($H$18:$H132)</f>
        <v>0</v>
      </c>
    </row>
    <row r="133" spans="1:10" ht="15" customHeight="1">
      <c r="A133" s="349"/>
      <c r="B133" s="346">
        <f t="shared" si="8"/>
      </c>
      <c r="C133" s="346">
        <f t="shared" si="14"/>
      </c>
      <c r="D133" s="346">
        <f t="shared" si="9"/>
      </c>
      <c r="E133" s="347" t="e">
        <f t="shared" si="10"/>
        <v>#VALUE!</v>
      </c>
      <c r="F133" s="348" t="e">
        <f t="shared" si="11"/>
        <v>#VALUE!</v>
      </c>
      <c r="G133" s="346">
        <f t="shared" si="12"/>
      </c>
      <c r="H133" s="346">
        <f t="shared" si="15"/>
      </c>
      <c r="I133" s="348" t="e">
        <f t="shared" si="13"/>
        <v>#VALUE!</v>
      </c>
      <c r="J133" s="348">
        <f>SUM($H$18:$H133)</f>
        <v>0</v>
      </c>
    </row>
    <row r="134" spans="1:10" ht="15" customHeight="1">
      <c r="A134" s="349"/>
      <c r="B134" s="346">
        <f t="shared" si="8"/>
      </c>
      <c r="C134" s="346">
        <f t="shared" si="14"/>
      </c>
      <c r="D134" s="346">
        <f t="shared" si="9"/>
      </c>
      <c r="E134" s="347" t="e">
        <f t="shared" si="10"/>
        <v>#VALUE!</v>
      </c>
      <c r="F134" s="348" t="e">
        <f t="shared" si="11"/>
        <v>#VALUE!</v>
      </c>
      <c r="G134" s="346">
        <f t="shared" si="12"/>
      </c>
      <c r="H134" s="346">
        <f t="shared" si="15"/>
      </c>
      <c r="I134" s="348" t="e">
        <f t="shared" si="13"/>
        <v>#VALUE!</v>
      </c>
      <c r="J134" s="348">
        <f>SUM($H$18:$H134)</f>
        <v>0</v>
      </c>
    </row>
    <row r="135" spans="1:10" ht="15" customHeight="1">
      <c r="A135" s="349"/>
      <c r="B135" s="346">
        <f t="shared" si="8"/>
      </c>
      <c r="C135" s="346">
        <f t="shared" si="14"/>
      </c>
      <c r="D135" s="346">
        <f t="shared" si="9"/>
      </c>
      <c r="E135" s="347" t="e">
        <f t="shared" si="10"/>
        <v>#VALUE!</v>
      </c>
      <c r="F135" s="348" t="e">
        <f t="shared" si="11"/>
        <v>#VALUE!</v>
      </c>
      <c r="G135" s="346">
        <f t="shared" si="12"/>
      </c>
      <c r="H135" s="346">
        <f t="shared" si="15"/>
      </c>
      <c r="I135" s="348" t="e">
        <f t="shared" si="13"/>
        <v>#VALUE!</v>
      </c>
      <c r="J135" s="348">
        <f>SUM($H$18:$H135)</f>
        <v>0</v>
      </c>
    </row>
    <row r="136" spans="1:10" ht="15" customHeight="1">
      <c r="A136" s="349"/>
      <c r="B136" s="346">
        <f t="shared" si="8"/>
      </c>
      <c r="C136" s="346">
        <f t="shared" si="14"/>
      </c>
      <c r="D136" s="346">
        <f t="shared" si="9"/>
      </c>
      <c r="E136" s="347" t="e">
        <f t="shared" si="10"/>
        <v>#VALUE!</v>
      </c>
      <c r="F136" s="348" t="e">
        <f t="shared" si="11"/>
        <v>#VALUE!</v>
      </c>
      <c r="G136" s="346">
        <f t="shared" si="12"/>
      </c>
      <c r="H136" s="346">
        <f t="shared" si="15"/>
      </c>
      <c r="I136" s="348" t="e">
        <f t="shared" si="13"/>
        <v>#VALUE!</v>
      </c>
      <c r="J136" s="348">
        <f>SUM($H$18:$H136)</f>
        <v>0</v>
      </c>
    </row>
    <row r="137" spans="1:10" ht="15" customHeight="1">
      <c r="A137" s="349"/>
      <c r="B137" s="346">
        <f t="shared" si="8"/>
      </c>
      <c r="C137" s="346">
        <f t="shared" si="14"/>
      </c>
      <c r="D137" s="346">
        <f t="shared" si="9"/>
      </c>
      <c r="E137" s="347" t="e">
        <f t="shared" si="10"/>
        <v>#VALUE!</v>
      </c>
      <c r="F137" s="348" t="e">
        <f t="shared" si="11"/>
        <v>#VALUE!</v>
      </c>
      <c r="G137" s="346">
        <f t="shared" si="12"/>
      </c>
      <c r="H137" s="346">
        <f t="shared" si="15"/>
      </c>
      <c r="I137" s="348" t="e">
        <f t="shared" si="13"/>
        <v>#VALUE!</v>
      </c>
      <c r="J137" s="348">
        <f>SUM($H$18:$H137)</f>
        <v>0</v>
      </c>
    </row>
    <row r="138" spans="1:10" ht="15" customHeight="1">
      <c r="A138" s="349"/>
      <c r="B138" s="346">
        <f t="shared" si="8"/>
      </c>
      <c r="C138" s="346">
        <f t="shared" si="14"/>
      </c>
      <c r="D138" s="346">
        <f t="shared" si="9"/>
      </c>
      <c r="E138" s="347" t="e">
        <f t="shared" si="10"/>
        <v>#VALUE!</v>
      </c>
      <c r="F138" s="348" t="e">
        <f t="shared" si="11"/>
        <v>#VALUE!</v>
      </c>
      <c r="G138" s="346">
        <f t="shared" si="12"/>
      </c>
      <c r="H138" s="346">
        <f t="shared" si="15"/>
      </c>
      <c r="I138" s="348" t="e">
        <f t="shared" si="13"/>
        <v>#VALUE!</v>
      </c>
      <c r="J138" s="348">
        <f>SUM($H$18:$H138)</f>
        <v>0</v>
      </c>
    </row>
    <row r="139" spans="1:10" ht="15" customHeight="1">
      <c r="A139" s="349"/>
      <c r="B139" s="346">
        <f t="shared" si="8"/>
      </c>
      <c r="C139" s="346">
        <f t="shared" si="14"/>
      </c>
      <c r="D139" s="346">
        <f t="shared" si="9"/>
      </c>
      <c r="E139" s="347" t="e">
        <f t="shared" si="10"/>
        <v>#VALUE!</v>
      </c>
      <c r="F139" s="348" t="e">
        <f t="shared" si="11"/>
        <v>#VALUE!</v>
      </c>
      <c r="G139" s="346">
        <f t="shared" si="12"/>
      </c>
      <c r="H139" s="346">
        <f t="shared" si="15"/>
      </c>
      <c r="I139" s="348" t="e">
        <f t="shared" si="13"/>
        <v>#VALUE!</v>
      </c>
      <c r="J139" s="348">
        <f>SUM($H$18:$H139)</f>
        <v>0</v>
      </c>
    </row>
    <row r="140" spans="1:10" ht="15" customHeight="1">
      <c r="A140" s="349"/>
      <c r="B140" s="346">
        <f t="shared" si="8"/>
      </c>
      <c r="C140" s="346">
        <f t="shared" si="14"/>
      </c>
      <c r="D140" s="346">
        <f t="shared" si="9"/>
      </c>
      <c r="E140" s="347" t="e">
        <f t="shared" si="10"/>
        <v>#VALUE!</v>
      </c>
      <c r="F140" s="348" t="e">
        <f t="shared" si="11"/>
        <v>#VALUE!</v>
      </c>
      <c r="G140" s="346">
        <f t="shared" si="12"/>
      </c>
      <c r="H140" s="346">
        <f t="shared" si="15"/>
      </c>
      <c r="I140" s="348" t="e">
        <f t="shared" si="13"/>
        <v>#VALUE!</v>
      </c>
      <c r="J140" s="348">
        <f>SUM($H$18:$H140)</f>
        <v>0</v>
      </c>
    </row>
    <row r="141" spans="1:10" ht="15" customHeight="1">
      <c r="A141" s="349"/>
      <c r="B141" s="346">
        <f t="shared" si="8"/>
      </c>
      <c r="C141" s="346">
        <f t="shared" si="14"/>
      </c>
      <c r="D141" s="346">
        <f t="shared" si="9"/>
      </c>
      <c r="E141" s="347" t="e">
        <f t="shared" si="10"/>
        <v>#VALUE!</v>
      </c>
      <c r="F141" s="348" t="e">
        <f t="shared" si="11"/>
        <v>#VALUE!</v>
      </c>
      <c r="G141" s="346">
        <f t="shared" si="12"/>
      </c>
      <c r="H141" s="346">
        <f t="shared" si="15"/>
      </c>
      <c r="I141" s="348" t="e">
        <f t="shared" si="13"/>
        <v>#VALUE!</v>
      </c>
      <c r="J141" s="348">
        <f>SUM($H$18:$H141)</f>
        <v>0</v>
      </c>
    </row>
    <row r="142" spans="1:10" ht="15" customHeight="1">
      <c r="A142" s="349"/>
      <c r="B142" s="346">
        <f t="shared" si="8"/>
      </c>
      <c r="C142" s="346">
        <f t="shared" si="14"/>
      </c>
      <c r="D142" s="346">
        <f t="shared" si="9"/>
      </c>
      <c r="E142" s="347" t="e">
        <f t="shared" si="10"/>
        <v>#VALUE!</v>
      </c>
      <c r="F142" s="348" t="e">
        <f t="shared" si="11"/>
        <v>#VALUE!</v>
      </c>
      <c r="G142" s="346">
        <f t="shared" si="12"/>
      </c>
      <c r="H142" s="346">
        <f t="shared" si="15"/>
      </c>
      <c r="I142" s="348" t="e">
        <f t="shared" si="13"/>
        <v>#VALUE!</v>
      </c>
      <c r="J142" s="348">
        <f>SUM($H$18:$H142)</f>
        <v>0</v>
      </c>
    </row>
    <row r="143" spans="1:10" ht="15" customHeight="1">
      <c r="A143" s="349"/>
      <c r="B143" s="346">
        <f t="shared" si="8"/>
      </c>
      <c r="C143" s="346">
        <f t="shared" si="14"/>
      </c>
      <c r="D143" s="346">
        <f t="shared" si="9"/>
      </c>
      <c r="E143" s="347" t="e">
        <f t="shared" si="10"/>
        <v>#VALUE!</v>
      </c>
      <c r="F143" s="348" t="e">
        <f t="shared" si="11"/>
        <v>#VALUE!</v>
      </c>
      <c r="G143" s="346">
        <f t="shared" si="12"/>
      </c>
      <c r="H143" s="346">
        <f t="shared" si="15"/>
      </c>
      <c r="I143" s="348" t="e">
        <f t="shared" si="13"/>
        <v>#VALUE!</v>
      </c>
      <c r="J143" s="348">
        <f>SUM($H$18:$H143)</f>
        <v>0</v>
      </c>
    </row>
    <row r="144" spans="1:10" ht="15" customHeight="1">
      <c r="A144" s="349"/>
      <c r="B144" s="346">
        <f t="shared" si="8"/>
      </c>
      <c r="C144" s="346">
        <f t="shared" si="14"/>
      </c>
      <c r="D144" s="346">
        <f t="shared" si="9"/>
      </c>
      <c r="E144" s="347" t="e">
        <f t="shared" si="10"/>
        <v>#VALUE!</v>
      </c>
      <c r="F144" s="348" t="e">
        <f t="shared" si="11"/>
        <v>#VALUE!</v>
      </c>
      <c r="G144" s="346">
        <f t="shared" si="12"/>
      </c>
      <c r="H144" s="346">
        <f t="shared" si="15"/>
      </c>
      <c r="I144" s="348" t="e">
        <f t="shared" si="13"/>
        <v>#VALUE!</v>
      </c>
      <c r="J144" s="348">
        <f>SUM($H$18:$H144)</f>
        <v>0</v>
      </c>
    </row>
    <row r="145" spans="1:10" ht="15" customHeight="1">
      <c r="A145" s="349"/>
      <c r="B145" s="346">
        <f t="shared" si="8"/>
      </c>
      <c r="C145" s="346">
        <f t="shared" si="14"/>
      </c>
      <c r="D145" s="346">
        <f t="shared" si="9"/>
      </c>
      <c r="E145" s="347" t="e">
        <f t="shared" si="10"/>
        <v>#VALUE!</v>
      </c>
      <c r="F145" s="348" t="e">
        <f t="shared" si="11"/>
        <v>#VALUE!</v>
      </c>
      <c r="G145" s="346">
        <f t="shared" si="12"/>
      </c>
      <c r="H145" s="346">
        <f t="shared" si="15"/>
      </c>
      <c r="I145" s="348" t="e">
        <f t="shared" si="13"/>
        <v>#VALUE!</v>
      </c>
      <c r="J145" s="348">
        <f>SUM($H$18:$H145)</f>
        <v>0</v>
      </c>
    </row>
    <row r="146" spans="1:10" ht="15" customHeight="1">
      <c r="A146" s="349"/>
      <c r="B146" s="346">
        <f aca="true" t="shared" si="16" ref="B146:B209">IF($A$18:$A$377&lt;&gt;"",DATE(YEAR($D$9),MONTH($D$9)+($A$18:$A$377)*12/$D$8,DAY($D$9)),"")</f>
      </c>
      <c r="C146" s="346">
        <f t="shared" si="14"/>
      </c>
      <c r="D146" s="346">
        <f aca="true" t="shared" si="17" ref="D146:D209">IF($A$18:$A$377&lt;&gt;"",$H$5,"")</f>
      </c>
      <c r="E146" s="347" t="e">
        <f aca="true" t="shared" si="18" ref="E146:E209">IF(AND($A$18:$A$377&lt;&gt;"",$D$18:$D$377+$D$10&lt;$C$18:$C$377),$D$10,IF(AND($A$18:$A$377&lt;&gt;"",$C$18:$C$377-$D$18:$D$377&gt;0),$C$18:$C$377-$D$18:$D$377,IF($A$18:$A$377&lt;&gt;"",0,"")))</f>
        <v>#VALUE!</v>
      </c>
      <c r="F146" s="348" t="e">
        <f aca="true" t="shared" si="19" ref="F146:F209">IF(AND($A$18:$A$377&lt;&gt;"",$D$18:$D$377+$E$18:$E$377&lt;$C$18:$C$377),$D$18:$D$377+$E$18:$E$377,IF($A$18:$A$377&lt;&gt;"",$C$18:$C$377,""))</f>
        <v>#VALUE!</v>
      </c>
      <c r="G146" s="346">
        <f aca="true" t="shared" si="20" ref="G146:G209">IF($A$18:$A$377&lt;&gt;"",$F$18:$F$377-$H$18:$H$377,"")</f>
      </c>
      <c r="H146" s="346">
        <f t="shared" si="15"/>
      </c>
      <c r="I146" s="348" t="e">
        <f aca="true" t="shared" si="21" ref="I146:I209">IF(AND($A$18:$A$377&lt;&gt;"",$D$18:$D$377+$E$18:$E$377&lt;$C$18:$C$377),$C$18:$C$377-$G$18:$G$377,IF($A$18:$A$377&lt;&gt;"",0,""))</f>
        <v>#VALUE!</v>
      </c>
      <c r="J146" s="348">
        <f>SUM($H$18:$H146)</f>
        <v>0</v>
      </c>
    </row>
    <row r="147" spans="1:10" ht="15" customHeight="1">
      <c r="A147" s="345"/>
      <c r="B147" s="346">
        <f t="shared" si="16"/>
      </c>
      <c r="C147" s="346">
        <f aca="true" t="shared" si="22" ref="C147:C210">IF($A$18:$A$377&lt;&gt;"",I146,"")</f>
      </c>
      <c r="D147" s="346">
        <f t="shared" si="17"/>
      </c>
      <c r="E147" s="347" t="e">
        <f t="shared" si="18"/>
        <v>#VALUE!</v>
      </c>
      <c r="F147" s="348" t="e">
        <f t="shared" si="19"/>
        <v>#VALUE!</v>
      </c>
      <c r="G147" s="346">
        <f t="shared" si="20"/>
      </c>
      <c r="H147" s="346">
        <f aca="true" t="shared" si="23" ref="H147:H210">IF($A$18:$A$377&lt;&gt;"",$C$18:$C$377*$D$6/$D$8,"")</f>
      </c>
      <c r="I147" s="348" t="e">
        <f t="shared" si="21"/>
        <v>#VALUE!</v>
      </c>
      <c r="J147" s="348">
        <f>SUM($H$18:$H147)</f>
        <v>0</v>
      </c>
    </row>
    <row r="148" spans="1:10" ht="15" customHeight="1">
      <c r="A148" s="349"/>
      <c r="B148" s="346">
        <f t="shared" si="16"/>
      </c>
      <c r="C148" s="346">
        <f t="shared" si="22"/>
      </c>
      <c r="D148" s="346">
        <f t="shared" si="17"/>
      </c>
      <c r="E148" s="347" t="e">
        <f t="shared" si="18"/>
        <v>#VALUE!</v>
      </c>
      <c r="F148" s="348" t="e">
        <f t="shared" si="19"/>
        <v>#VALUE!</v>
      </c>
      <c r="G148" s="346">
        <f t="shared" si="20"/>
      </c>
      <c r="H148" s="346">
        <f t="shared" si="23"/>
      </c>
      <c r="I148" s="348" t="e">
        <f t="shared" si="21"/>
        <v>#VALUE!</v>
      </c>
      <c r="J148" s="348">
        <f>SUM($H$18:$H148)</f>
        <v>0</v>
      </c>
    </row>
    <row r="149" spans="1:10" ht="15" customHeight="1">
      <c r="A149" s="349"/>
      <c r="B149" s="346">
        <f t="shared" si="16"/>
      </c>
      <c r="C149" s="346">
        <f t="shared" si="22"/>
      </c>
      <c r="D149" s="346">
        <f t="shared" si="17"/>
      </c>
      <c r="E149" s="347" t="e">
        <f t="shared" si="18"/>
        <v>#VALUE!</v>
      </c>
      <c r="F149" s="348" t="e">
        <f t="shared" si="19"/>
        <v>#VALUE!</v>
      </c>
      <c r="G149" s="346">
        <f t="shared" si="20"/>
      </c>
      <c r="H149" s="346">
        <f t="shared" si="23"/>
      </c>
      <c r="I149" s="348" t="e">
        <f t="shared" si="21"/>
        <v>#VALUE!</v>
      </c>
      <c r="J149" s="348">
        <f>SUM($H$18:$H149)</f>
        <v>0</v>
      </c>
    </row>
    <row r="150" spans="1:10" ht="15" customHeight="1">
      <c r="A150" s="349"/>
      <c r="B150" s="346">
        <f t="shared" si="16"/>
      </c>
      <c r="C150" s="346">
        <f t="shared" si="22"/>
      </c>
      <c r="D150" s="346">
        <f t="shared" si="17"/>
      </c>
      <c r="E150" s="347" t="e">
        <f t="shared" si="18"/>
        <v>#VALUE!</v>
      </c>
      <c r="F150" s="348" t="e">
        <f t="shared" si="19"/>
        <v>#VALUE!</v>
      </c>
      <c r="G150" s="346">
        <f t="shared" si="20"/>
      </c>
      <c r="H150" s="346">
        <f t="shared" si="23"/>
      </c>
      <c r="I150" s="348" t="e">
        <f t="shared" si="21"/>
        <v>#VALUE!</v>
      </c>
      <c r="J150" s="348">
        <f>SUM($H$18:$H150)</f>
        <v>0</v>
      </c>
    </row>
    <row r="151" spans="1:10" ht="15" customHeight="1">
      <c r="A151" s="349"/>
      <c r="B151" s="346">
        <f t="shared" si="16"/>
      </c>
      <c r="C151" s="346">
        <f t="shared" si="22"/>
      </c>
      <c r="D151" s="346">
        <f t="shared" si="17"/>
      </c>
      <c r="E151" s="347" t="e">
        <f t="shared" si="18"/>
        <v>#VALUE!</v>
      </c>
      <c r="F151" s="348" t="e">
        <f t="shared" si="19"/>
        <v>#VALUE!</v>
      </c>
      <c r="G151" s="346">
        <f t="shared" si="20"/>
      </c>
      <c r="H151" s="346">
        <f t="shared" si="23"/>
      </c>
      <c r="I151" s="348" t="e">
        <f t="shared" si="21"/>
        <v>#VALUE!</v>
      </c>
      <c r="J151" s="348">
        <f>SUM($H$18:$H151)</f>
        <v>0</v>
      </c>
    </row>
    <row r="152" spans="1:10" ht="15" customHeight="1">
      <c r="A152" s="349"/>
      <c r="B152" s="346">
        <f t="shared" si="16"/>
      </c>
      <c r="C152" s="346">
        <f t="shared" si="22"/>
      </c>
      <c r="D152" s="346">
        <f t="shared" si="17"/>
      </c>
      <c r="E152" s="347" t="e">
        <f t="shared" si="18"/>
        <v>#VALUE!</v>
      </c>
      <c r="F152" s="348" t="e">
        <f t="shared" si="19"/>
        <v>#VALUE!</v>
      </c>
      <c r="G152" s="346">
        <f t="shared" si="20"/>
      </c>
      <c r="H152" s="346">
        <f t="shared" si="23"/>
      </c>
      <c r="I152" s="348" t="e">
        <f t="shared" si="21"/>
        <v>#VALUE!</v>
      </c>
      <c r="J152" s="348">
        <f>SUM($H$18:$H152)</f>
        <v>0</v>
      </c>
    </row>
    <row r="153" spans="1:10" ht="15" customHeight="1">
      <c r="A153" s="349"/>
      <c r="B153" s="346">
        <f t="shared" si="16"/>
      </c>
      <c r="C153" s="346">
        <f t="shared" si="22"/>
      </c>
      <c r="D153" s="346">
        <f t="shared" si="17"/>
      </c>
      <c r="E153" s="347" t="e">
        <f t="shared" si="18"/>
        <v>#VALUE!</v>
      </c>
      <c r="F153" s="348" t="e">
        <f t="shared" si="19"/>
        <v>#VALUE!</v>
      </c>
      <c r="G153" s="346">
        <f t="shared" si="20"/>
      </c>
      <c r="H153" s="346">
        <f t="shared" si="23"/>
      </c>
      <c r="I153" s="348" t="e">
        <f t="shared" si="21"/>
        <v>#VALUE!</v>
      </c>
      <c r="J153" s="348">
        <f>SUM($H$18:$H153)</f>
        <v>0</v>
      </c>
    </row>
    <row r="154" spans="1:10" ht="15" customHeight="1">
      <c r="A154" s="349"/>
      <c r="B154" s="346">
        <f t="shared" si="16"/>
      </c>
      <c r="C154" s="346">
        <f t="shared" si="22"/>
      </c>
      <c r="D154" s="346">
        <f t="shared" si="17"/>
      </c>
      <c r="E154" s="347" t="e">
        <f t="shared" si="18"/>
        <v>#VALUE!</v>
      </c>
      <c r="F154" s="348" t="e">
        <f t="shared" si="19"/>
        <v>#VALUE!</v>
      </c>
      <c r="G154" s="346">
        <f t="shared" si="20"/>
      </c>
      <c r="H154" s="346">
        <f t="shared" si="23"/>
      </c>
      <c r="I154" s="348" t="e">
        <f t="shared" si="21"/>
        <v>#VALUE!</v>
      </c>
      <c r="J154" s="348">
        <f>SUM($H$18:$H154)</f>
        <v>0</v>
      </c>
    </row>
    <row r="155" spans="1:10" ht="15" customHeight="1">
      <c r="A155" s="349"/>
      <c r="B155" s="346">
        <f t="shared" si="16"/>
      </c>
      <c r="C155" s="346">
        <f t="shared" si="22"/>
      </c>
      <c r="D155" s="346">
        <f t="shared" si="17"/>
      </c>
      <c r="E155" s="347" t="e">
        <f t="shared" si="18"/>
        <v>#VALUE!</v>
      </c>
      <c r="F155" s="348" t="e">
        <f t="shared" si="19"/>
        <v>#VALUE!</v>
      </c>
      <c r="G155" s="346">
        <f t="shared" si="20"/>
      </c>
      <c r="H155" s="346">
        <f t="shared" si="23"/>
      </c>
      <c r="I155" s="348" t="e">
        <f t="shared" si="21"/>
        <v>#VALUE!</v>
      </c>
      <c r="J155" s="348">
        <f>SUM($H$18:$H155)</f>
        <v>0</v>
      </c>
    </row>
    <row r="156" spans="1:10" ht="15" customHeight="1">
      <c r="A156" s="349"/>
      <c r="B156" s="346">
        <f t="shared" si="16"/>
      </c>
      <c r="C156" s="346">
        <f t="shared" si="22"/>
      </c>
      <c r="D156" s="346">
        <f t="shared" si="17"/>
      </c>
      <c r="E156" s="347" t="e">
        <f t="shared" si="18"/>
        <v>#VALUE!</v>
      </c>
      <c r="F156" s="348" t="e">
        <f t="shared" si="19"/>
        <v>#VALUE!</v>
      </c>
      <c r="G156" s="346">
        <f t="shared" si="20"/>
      </c>
      <c r="H156" s="346">
        <f t="shared" si="23"/>
      </c>
      <c r="I156" s="348" t="e">
        <f t="shared" si="21"/>
        <v>#VALUE!</v>
      </c>
      <c r="J156" s="348">
        <f>SUM($H$18:$H156)</f>
        <v>0</v>
      </c>
    </row>
    <row r="157" spans="1:10" ht="15" customHeight="1">
      <c r="A157" s="349"/>
      <c r="B157" s="346">
        <f t="shared" si="16"/>
      </c>
      <c r="C157" s="346">
        <f t="shared" si="22"/>
      </c>
      <c r="D157" s="346">
        <f t="shared" si="17"/>
      </c>
      <c r="E157" s="347" t="e">
        <f t="shared" si="18"/>
        <v>#VALUE!</v>
      </c>
      <c r="F157" s="348" t="e">
        <f t="shared" si="19"/>
        <v>#VALUE!</v>
      </c>
      <c r="G157" s="346">
        <f t="shared" si="20"/>
      </c>
      <c r="H157" s="346">
        <f t="shared" si="23"/>
      </c>
      <c r="I157" s="348" t="e">
        <f t="shared" si="21"/>
        <v>#VALUE!</v>
      </c>
      <c r="J157" s="348">
        <f>SUM($H$18:$H157)</f>
        <v>0</v>
      </c>
    </row>
    <row r="158" spans="1:10" ht="15" customHeight="1">
      <c r="A158" s="349"/>
      <c r="B158" s="346">
        <f t="shared" si="16"/>
      </c>
      <c r="C158" s="346">
        <f t="shared" si="22"/>
      </c>
      <c r="D158" s="346">
        <f t="shared" si="17"/>
      </c>
      <c r="E158" s="347" t="e">
        <f t="shared" si="18"/>
        <v>#VALUE!</v>
      </c>
      <c r="F158" s="348" t="e">
        <f t="shared" si="19"/>
        <v>#VALUE!</v>
      </c>
      <c r="G158" s="346">
        <f t="shared" si="20"/>
      </c>
      <c r="H158" s="346">
        <f t="shared" si="23"/>
      </c>
      <c r="I158" s="348" t="e">
        <f t="shared" si="21"/>
        <v>#VALUE!</v>
      </c>
      <c r="J158" s="348">
        <f>SUM($H$18:$H158)</f>
        <v>0</v>
      </c>
    </row>
    <row r="159" spans="1:10" ht="15" customHeight="1">
      <c r="A159" s="349"/>
      <c r="B159" s="346">
        <f t="shared" si="16"/>
      </c>
      <c r="C159" s="346">
        <f t="shared" si="22"/>
      </c>
      <c r="D159" s="346">
        <f t="shared" si="17"/>
      </c>
      <c r="E159" s="347" t="e">
        <f t="shared" si="18"/>
        <v>#VALUE!</v>
      </c>
      <c r="F159" s="348" t="e">
        <f t="shared" si="19"/>
        <v>#VALUE!</v>
      </c>
      <c r="G159" s="346">
        <f t="shared" si="20"/>
      </c>
      <c r="H159" s="346">
        <f t="shared" si="23"/>
      </c>
      <c r="I159" s="348" t="e">
        <f t="shared" si="21"/>
        <v>#VALUE!</v>
      </c>
      <c r="J159" s="348">
        <f>SUM($H$18:$H159)</f>
        <v>0</v>
      </c>
    </row>
    <row r="160" spans="1:10" ht="15" customHeight="1">
      <c r="A160" s="349"/>
      <c r="B160" s="346">
        <f t="shared" si="16"/>
      </c>
      <c r="C160" s="346">
        <f t="shared" si="22"/>
      </c>
      <c r="D160" s="346">
        <f t="shared" si="17"/>
      </c>
      <c r="E160" s="347" t="e">
        <f t="shared" si="18"/>
        <v>#VALUE!</v>
      </c>
      <c r="F160" s="348" t="e">
        <f t="shared" si="19"/>
        <v>#VALUE!</v>
      </c>
      <c r="G160" s="346">
        <f t="shared" si="20"/>
      </c>
      <c r="H160" s="346">
        <f t="shared" si="23"/>
      </c>
      <c r="I160" s="348" t="e">
        <f t="shared" si="21"/>
        <v>#VALUE!</v>
      </c>
      <c r="J160" s="348">
        <f>SUM($H$18:$H160)</f>
        <v>0</v>
      </c>
    </row>
    <row r="161" spans="1:10" ht="15" customHeight="1">
      <c r="A161" s="349"/>
      <c r="B161" s="346">
        <f t="shared" si="16"/>
      </c>
      <c r="C161" s="346">
        <f t="shared" si="22"/>
      </c>
      <c r="D161" s="346">
        <f t="shared" si="17"/>
      </c>
      <c r="E161" s="347" t="e">
        <f t="shared" si="18"/>
        <v>#VALUE!</v>
      </c>
      <c r="F161" s="348" t="e">
        <f t="shared" si="19"/>
        <v>#VALUE!</v>
      </c>
      <c r="G161" s="346">
        <f t="shared" si="20"/>
      </c>
      <c r="H161" s="346">
        <f t="shared" si="23"/>
      </c>
      <c r="I161" s="348" t="e">
        <f t="shared" si="21"/>
        <v>#VALUE!</v>
      </c>
      <c r="J161" s="348">
        <f>SUM($H$18:$H161)</f>
        <v>0</v>
      </c>
    </row>
    <row r="162" spans="1:10" ht="15" customHeight="1">
      <c r="A162" s="349"/>
      <c r="B162" s="346">
        <f t="shared" si="16"/>
      </c>
      <c r="C162" s="346">
        <f t="shared" si="22"/>
      </c>
      <c r="D162" s="346">
        <f t="shared" si="17"/>
      </c>
      <c r="E162" s="347" t="e">
        <f t="shared" si="18"/>
        <v>#VALUE!</v>
      </c>
      <c r="F162" s="348" t="e">
        <f t="shared" si="19"/>
        <v>#VALUE!</v>
      </c>
      <c r="G162" s="346">
        <f t="shared" si="20"/>
      </c>
      <c r="H162" s="346">
        <f t="shared" si="23"/>
      </c>
      <c r="I162" s="348" t="e">
        <f t="shared" si="21"/>
        <v>#VALUE!</v>
      </c>
      <c r="J162" s="348">
        <f>SUM($H$18:$H162)</f>
        <v>0</v>
      </c>
    </row>
    <row r="163" spans="1:10" ht="15" customHeight="1">
      <c r="A163" s="349"/>
      <c r="B163" s="346">
        <f t="shared" si="16"/>
      </c>
      <c r="C163" s="346">
        <f t="shared" si="22"/>
      </c>
      <c r="D163" s="346">
        <f t="shared" si="17"/>
      </c>
      <c r="E163" s="347" t="e">
        <f t="shared" si="18"/>
        <v>#VALUE!</v>
      </c>
      <c r="F163" s="348" t="e">
        <f t="shared" si="19"/>
        <v>#VALUE!</v>
      </c>
      <c r="G163" s="346">
        <f t="shared" si="20"/>
      </c>
      <c r="H163" s="346">
        <f t="shared" si="23"/>
      </c>
      <c r="I163" s="348" t="e">
        <f t="shared" si="21"/>
        <v>#VALUE!</v>
      </c>
      <c r="J163" s="348">
        <f>SUM($H$18:$H163)</f>
        <v>0</v>
      </c>
    </row>
    <row r="164" spans="1:10" ht="15" customHeight="1">
      <c r="A164" s="349"/>
      <c r="B164" s="346">
        <f t="shared" si="16"/>
      </c>
      <c r="C164" s="346">
        <f t="shared" si="22"/>
      </c>
      <c r="D164" s="346">
        <f t="shared" si="17"/>
      </c>
      <c r="E164" s="347" t="e">
        <f t="shared" si="18"/>
        <v>#VALUE!</v>
      </c>
      <c r="F164" s="348" t="e">
        <f t="shared" si="19"/>
        <v>#VALUE!</v>
      </c>
      <c r="G164" s="346">
        <f t="shared" si="20"/>
      </c>
      <c r="H164" s="346">
        <f t="shared" si="23"/>
      </c>
      <c r="I164" s="348" t="e">
        <f t="shared" si="21"/>
        <v>#VALUE!</v>
      </c>
      <c r="J164" s="348">
        <f>SUM($H$18:$H164)</f>
        <v>0</v>
      </c>
    </row>
    <row r="165" spans="1:10" ht="15" customHeight="1">
      <c r="A165" s="349"/>
      <c r="B165" s="346">
        <f t="shared" si="16"/>
      </c>
      <c r="C165" s="346">
        <f t="shared" si="22"/>
      </c>
      <c r="D165" s="346">
        <f t="shared" si="17"/>
      </c>
      <c r="E165" s="347" t="e">
        <f t="shared" si="18"/>
        <v>#VALUE!</v>
      </c>
      <c r="F165" s="348" t="e">
        <f t="shared" si="19"/>
        <v>#VALUE!</v>
      </c>
      <c r="G165" s="346">
        <f t="shared" si="20"/>
      </c>
      <c r="H165" s="346">
        <f t="shared" si="23"/>
      </c>
      <c r="I165" s="348" t="e">
        <f t="shared" si="21"/>
        <v>#VALUE!</v>
      </c>
      <c r="J165" s="348">
        <f>SUM($H$18:$H165)</f>
        <v>0</v>
      </c>
    </row>
    <row r="166" spans="1:10" ht="15" customHeight="1">
      <c r="A166" s="349"/>
      <c r="B166" s="346">
        <f t="shared" si="16"/>
      </c>
      <c r="C166" s="346">
        <f t="shared" si="22"/>
      </c>
      <c r="D166" s="346">
        <f t="shared" si="17"/>
      </c>
      <c r="E166" s="347" t="e">
        <f t="shared" si="18"/>
        <v>#VALUE!</v>
      </c>
      <c r="F166" s="348" t="e">
        <f t="shared" si="19"/>
        <v>#VALUE!</v>
      </c>
      <c r="G166" s="346">
        <f t="shared" si="20"/>
      </c>
      <c r="H166" s="346">
        <f t="shared" si="23"/>
      </c>
      <c r="I166" s="348" t="e">
        <f t="shared" si="21"/>
        <v>#VALUE!</v>
      </c>
      <c r="J166" s="348">
        <f>SUM($H$18:$H166)</f>
        <v>0</v>
      </c>
    </row>
    <row r="167" spans="1:10" ht="15" customHeight="1">
      <c r="A167" s="349"/>
      <c r="B167" s="346">
        <f t="shared" si="16"/>
      </c>
      <c r="C167" s="346">
        <f t="shared" si="22"/>
      </c>
      <c r="D167" s="346">
        <f t="shared" si="17"/>
      </c>
      <c r="E167" s="347" t="e">
        <f t="shared" si="18"/>
        <v>#VALUE!</v>
      </c>
      <c r="F167" s="348" t="e">
        <f t="shared" si="19"/>
        <v>#VALUE!</v>
      </c>
      <c r="G167" s="346">
        <f t="shared" si="20"/>
      </c>
      <c r="H167" s="346">
        <f t="shared" si="23"/>
      </c>
      <c r="I167" s="348" t="e">
        <f t="shared" si="21"/>
        <v>#VALUE!</v>
      </c>
      <c r="J167" s="348">
        <f>SUM($H$18:$H167)</f>
        <v>0</v>
      </c>
    </row>
    <row r="168" spans="1:10" ht="15" customHeight="1">
      <c r="A168" s="349"/>
      <c r="B168" s="346">
        <f t="shared" si="16"/>
      </c>
      <c r="C168" s="346">
        <f t="shared" si="22"/>
      </c>
      <c r="D168" s="346">
        <f t="shared" si="17"/>
      </c>
      <c r="E168" s="347" t="e">
        <f t="shared" si="18"/>
        <v>#VALUE!</v>
      </c>
      <c r="F168" s="348" t="e">
        <f t="shared" si="19"/>
        <v>#VALUE!</v>
      </c>
      <c r="G168" s="346">
        <f t="shared" si="20"/>
      </c>
      <c r="H168" s="346">
        <f t="shared" si="23"/>
      </c>
      <c r="I168" s="348" t="e">
        <f t="shared" si="21"/>
        <v>#VALUE!</v>
      </c>
      <c r="J168" s="348">
        <f>SUM($H$18:$H168)</f>
        <v>0</v>
      </c>
    </row>
    <row r="169" spans="1:10" ht="15" customHeight="1">
      <c r="A169" s="349"/>
      <c r="B169" s="346">
        <f t="shared" si="16"/>
      </c>
      <c r="C169" s="346">
        <f t="shared" si="22"/>
      </c>
      <c r="D169" s="346">
        <f t="shared" si="17"/>
      </c>
      <c r="E169" s="347" t="e">
        <f t="shared" si="18"/>
        <v>#VALUE!</v>
      </c>
      <c r="F169" s="348" t="e">
        <f t="shared" si="19"/>
        <v>#VALUE!</v>
      </c>
      <c r="G169" s="346">
        <f t="shared" si="20"/>
      </c>
      <c r="H169" s="346">
        <f t="shared" si="23"/>
      </c>
      <c r="I169" s="348" t="e">
        <f t="shared" si="21"/>
        <v>#VALUE!</v>
      </c>
      <c r="J169" s="348">
        <f>SUM($H$18:$H169)</f>
        <v>0</v>
      </c>
    </row>
    <row r="170" spans="1:10" ht="15" customHeight="1">
      <c r="A170" s="349"/>
      <c r="B170" s="346">
        <f t="shared" si="16"/>
      </c>
      <c r="C170" s="346">
        <f t="shared" si="22"/>
      </c>
      <c r="D170" s="346">
        <f t="shared" si="17"/>
      </c>
      <c r="E170" s="347" t="e">
        <f t="shared" si="18"/>
        <v>#VALUE!</v>
      </c>
      <c r="F170" s="348" t="e">
        <f t="shared" si="19"/>
        <v>#VALUE!</v>
      </c>
      <c r="G170" s="346">
        <f t="shared" si="20"/>
      </c>
      <c r="H170" s="346">
        <f t="shared" si="23"/>
      </c>
      <c r="I170" s="348" t="e">
        <f t="shared" si="21"/>
        <v>#VALUE!</v>
      </c>
      <c r="J170" s="348">
        <f>SUM($H$18:$H170)</f>
        <v>0</v>
      </c>
    </row>
    <row r="171" spans="1:10" ht="15" customHeight="1">
      <c r="A171" s="349"/>
      <c r="B171" s="346">
        <f t="shared" si="16"/>
      </c>
      <c r="C171" s="346">
        <f t="shared" si="22"/>
      </c>
      <c r="D171" s="346">
        <f t="shared" si="17"/>
      </c>
      <c r="E171" s="347" t="e">
        <f t="shared" si="18"/>
        <v>#VALUE!</v>
      </c>
      <c r="F171" s="348" t="e">
        <f t="shared" si="19"/>
        <v>#VALUE!</v>
      </c>
      <c r="G171" s="346">
        <f t="shared" si="20"/>
      </c>
      <c r="H171" s="346">
        <f t="shared" si="23"/>
      </c>
      <c r="I171" s="348" t="e">
        <f t="shared" si="21"/>
        <v>#VALUE!</v>
      </c>
      <c r="J171" s="348">
        <f>SUM($H$18:$H171)</f>
        <v>0</v>
      </c>
    </row>
    <row r="172" spans="1:10" ht="15" customHeight="1">
      <c r="A172" s="349"/>
      <c r="B172" s="346">
        <f t="shared" si="16"/>
      </c>
      <c r="C172" s="346">
        <f t="shared" si="22"/>
      </c>
      <c r="D172" s="346">
        <f t="shared" si="17"/>
      </c>
      <c r="E172" s="347" t="e">
        <f t="shared" si="18"/>
        <v>#VALUE!</v>
      </c>
      <c r="F172" s="348" t="e">
        <f t="shared" si="19"/>
        <v>#VALUE!</v>
      </c>
      <c r="G172" s="346">
        <f t="shared" si="20"/>
      </c>
      <c r="H172" s="346">
        <f t="shared" si="23"/>
      </c>
      <c r="I172" s="348" t="e">
        <f t="shared" si="21"/>
        <v>#VALUE!</v>
      </c>
      <c r="J172" s="348">
        <f>SUM($H$18:$H172)</f>
        <v>0</v>
      </c>
    </row>
    <row r="173" spans="1:10" ht="15" customHeight="1">
      <c r="A173" s="349"/>
      <c r="B173" s="346">
        <f t="shared" si="16"/>
      </c>
      <c r="C173" s="346">
        <f t="shared" si="22"/>
      </c>
      <c r="D173" s="346">
        <f t="shared" si="17"/>
      </c>
      <c r="E173" s="347" t="e">
        <f t="shared" si="18"/>
        <v>#VALUE!</v>
      </c>
      <c r="F173" s="348" t="e">
        <f t="shared" si="19"/>
        <v>#VALUE!</v>
      </c>
      <c r="G173" s="346">
        <f t="shared" si="20"/>
      </c>
      <c r="H173" s="346">
        <f t="shared" si="23"/>
      </c>
      <c r="I173" s="348" t="e">
        <f t="shared" si="21"/>
        <v>#VALUE!</v>
      </c>
      <c r="J173" s="348">
        <f>SUM($H$18:$H173)</f>
        <v>0</v>
      </c>
    </row>
    <row r="174" spans="1:10" ht="15" customHeight="1">
      <c r="A174" s="349"/>
      <c r="B174" s="346">
        <f t="shared" si="16"/>
      </c>
      <c r="C174" s="346">
        <f t="shared" si="22"/>
      </c>
      <c r="D174" s="346">
        <f t="shared" si="17"/>
      </c>
      <c r="E174" s="347" t="e">
        <f t="shared" si="18"/>
        <v>#VALUE!</v>
      </c>
      <c r="F174" s="348" t="e">
        <f t="shared" si="19"/>
        <v>#VALUE!</v>
      </c>
      <c r="G174" s="346">
        <f t="shared" si="20"/>
      </c>
      <c r="H174" s="346">
        <f t="shared" si="23"/>
      </c>
      <c r="I174" s="348" t="e">
        <f t="shared" si="21"/>
        <v>#VALUE!</v>
      </c>
      <c r="J174" s="348">
        <f>SUM($H$18:$H174)</f>
        <v>0</v>
      </c>
    </row>
    <row r="175" spans="1:10" ht="15" customHeight="1">
      <c r="A175" s="349"/>
      <c r="B175" s="346">
        <f t="shared" si="16"/>
      </c>
      <c r="C175" s="346">
        <f t="shared" si="22"/>
      </c>
      <c r="D175" s="346">
        <f t="shared" si="17"/>
      </c>
      <c r="E175" s="347" t="e">
        <f t="shared" si="18"/>
        <v>#VALUE!</v>
      </c>
      <c r="F175" s="348" t="e">
        <f t="shared" si="19"/>
        <v>#VALUE!</v>
      </c>
      <c r="G175" s="346">
        <f t="shared" si="20"/>
      </c>
      <c r="H175" s="346">
        <f t="shared" si="23"/>
      </c>
      <c r="I175" s="348" t="e">
        <f t="shared" si="21"/>
        <v>#VALUE!</v>
      </c>
      <c r="J175" s="348">
        <f>SUM($H$18:$H175)</f>
        <v>0</v>
      </c>
    </row>
    <row r="176" spans="1:10" ht="15" customHeight="1">
      <c r="A176" s="349"/>
      <c r="B176" s="346">
        <f t="shared" si="16"/>
      </c>
      <c r="C176" s="346">
        <f t="shared" si="22"/>
      </c>
      <c r="D176" s="346">
        <f t="shared" si="17"/>
      </c>
      <c r="E176" s="347" t="e">
        <f t="shared" si="18"/>
        <v>#VALUE!</v>
      </c>
      <c r="F176" s="348" t="e">
        <f t="shared" si="19"/>
        <v>#VALUE!</v>
      </c>
      <c r="G176" s="346">
        <f t="shared" si="20"/>
      </c>
      <c r="H176" s="346">
        <f t="shared" si="23"/>
      </c>
      <c r="I176" s="348" t="e">
        <f t="shared" si="21"/>
        <v>#VALUE!</v>
      </c>
      <c r="J176" s="348">
        <f>SUM($H$18:$H176)</f>
        <v>0</v>
      </c>
    </row>
    <row r="177" spans="1:10" ht="15" customHeight="1">
      <c r="A177" s="349"/>
      <c r="B177" s="346">
        <f t="shared" si="16"/>
      </c>
      <c r="C177" s="346">
        <f t="shared" si="22"/>
      </c>
      <c r="D177" s="346">
        <f t="shared" si="17"/>
      </c>
      <c r="E177" s="347" t="e">
        <f t="shared" si="18"/>
        <v>#VALUE!</v>
      </c>
      <c r="F177" s="348" t="e">
        <f t="shared" si="19"/>
        <v>#VALUE!</v>
      </c>
      <c r="G177" s="346">
        <f t="shared" si="20"/>
      </c>
      <c r="H177" s="346">
        <f t="shared" si="23"/>
      </c>
      <c r="I177" s="348" t="e">
        <f t="shared" si="21"/>
        <v>#VALUE!</v>
      </c>
      <c r="J177" s="348">
        <f>SUM($H$18:$H177)</f>
        <v>0</v>
      </c>
    </row>
    <row r="178" spans="1:10" ht="15" customHeight="1">
      <c r="A178" s="349"/>
      <c r="B178" s="346">
        <f t="shared" si="16"/>
      </c>
      <c r="C178" s="346">
        <f t="shared" si="22"/>
      </c>
      <c r="D178" s="346">
        <f t="shared" si="17"/>
      </c>
      <c r="E178" s="347" t="e">
        <f t="shared" si="18"/>
        <v>#VALUE!</v>
      </c>
      <c r="F178" s="348" t="e">
        <f t="shared" si="19"/>
        <v>#VALUE!</v>
      </c>
      <c r="G178" s="346">
        <f t="shared" si="20"/>
      </c>
      <c r="H178" s="346">
        <f t="shared" si="23"/>
      </c>
      <c r="I178" s="348" t="e">
        <f t="shared" si="21"/>
        <v>#VALUE!</v>
      </c>
      <c r="J178" s="348">
        <f>SUM($H$18:$H178)</f>
        <v>0</v>
      </c>
    </row>
    <row r="179" spans="1:10" ht="15" customHeight="1">
      <c r="A179" s="349"/>
      <c r="B179" s="346">
        <f t="shared" si="16"/>
      </c>
      <c r="C179" s="346">
        <f t="shared" si="22"/>
      </c>
      <c r="D179" s="346">
        <f t="shared" si="17"/>
      </c>
      <c r="E179" s="347" t="e">
        <f t="shared" si="18"/>
        <v>#VALUE!</v>
      </c>
      <c r="F179" s="348" t="e">
        <f t="shared" si="19"/>
        <v>#VALUE!</v>
      </c>
      <c r="G179" s="346">
        <f t="shared" si="20"/>
      </c>
      <c r="H179" s="346">
        <f t="shared" si="23"/>
      </c>
      <c r="I179" s="348" t="e">
        <f t="shared" si="21"/>
        <v>#VALUE!</v>
      </c>
      <c r="J179" s="348">
        <f>SUM($H$18:$H179)</f>
        <v>0</v>
      </c>
    </row>
    <row r="180" spans="1:10" ht="15" customHeight="1">
      <c r="A180" s="349"/>
      <c r="B180" s="346">
        <f t="shared" si="16"/>
      </c>
      <c r="C180" s="346">
        <f t="shared" si="22"/>
      </c>
      <c r="D180" s="346">
        <f t="shared" si="17"/>
      </c>
      <c r="E180" s="347" t="e">
        <f t="shared" si="18"/>
        <v>#VALUE!</v>
      </c>
      <c r="F180" s="348" t="e">
        <f t="shared" si="19"/>
        <v>#VALUE!</v>
      </c>
      <c r="G180" s="346">
        <f t="shared" si="20"/>
      </c>
      <c r="H180" s="346">
        <f t="shared" si="23"/>
      </c>
      <c r="I180" s="348" t="e">
        <f t="shared" si="21"/>
        <v>#VALUE!</v>
      </c>
      <c r="J180" s="348">
        <f>SUM($H$18:$H180)</f>
        <v>0</v>
      </c>
    </row>
    <row r="181" spans="1:10" ht="15" customHeight="1">
      <c r="A181" s="349"/>
      <c r="B181" s="346">
        <f t="shared" si="16"/>
      </c>
      <c r="C181" s="346">
        <f t="shared" si="22"/>
      </c>
      <c r="D181" s="346">
        <f t="shared" si="17"/>
      </c>
      <c r="E181" s="347" t="e">
        <f t="shared" si="18"/>
        <v>#VALUE!</v>
      </c>
      <c r="F181" s="348" t="e">
        <f t="shared" si="19"/>
        <v>#VALUE!</v>
      </c>
      <c r="G181" s="346">
        <f t="shared" si="20"/>
      </c>
      <c r="H181" s="346">
        <f t="shared" si="23"/>
      </c>
      <c r="I181" s="348" t="e">
        <f t="shared" si="21"/>
        <v>#VALUE!</v>
      </c>
      <c r="J181" s="348">
        <f>SUM($H$18:$H181)</f>
        <v>0</v>
      </c>
    </row>
    <row r="182" spans="1:10" ht="15" customHeight="1">
      <c r="A182" s="349"/>
      <c r="B182" s="346">
        <f t="shared" si="16"/>
      </c>
      <c r="C182" s="346">
        <f t="shared" si="22"/>
      </c>
      <c r="D182" s="346">
        <f t="shared" si="17"/>
      </c>
      <c r="E182" s="347" t="e">
        <f t="shared" si="18"/>
        <v>#VALUE!</v>
      </c>
      <c r="F182" s="348" t="e">
        <f t="shared" si="19"/>
        <v>#VALUE!</v>
      </c>
      <c r="G182" s="346">
        <f t="shared" si="20"/>
      </c>
      <c r="H182" s="346">
        <f t="shared" si="23"/>
      </c>
      <c r="I182" s="348" t="e">
        <f t="shared" si="21"/>
        <v>#VALUE!</v>
      </c>
      <c r="J182" s="348">
        <f>SUM($H$18:$H182)</f>
        <v>0</v>
      </c>
    </row>
    <row r="183" spans="1:10" ht="15" customHeight="1">
      <c r="A183" s="349"/>
      <c r="B183" s="346">
        <f t="shared" si="16"/>
      </c>
      <c r="C183" s="346">
        <f t="shared" si="22"/>
      </c>
      <c r="D183" s="346">
        <f t="shared" si="17"/>
      </c>
      <c r="E183" s="347" t="e">
        <f t="shared" si="18"/>
        <v>#VALUE!</v>
      </c>
      <c r="F183" s="348" t="e">
        <f t="shared" si="19"/>
        <v>#VALUE!</v>
      </c>
      <c r="G183" s="346">
        <f t="shared" si="20"/>
      </c>
      <c r="H183" s="346">
        <f t="shared" si="23"/>
      </c>
      <c r="I183" s="348" t="e">
        <f t="shared" si="21"/>
        <v>#VALUE!</v>
      </c>
      <c r="J183" s="348">
        <f>SUM($H$18:$H183)</f>
        <v>0</v>
      </c>
    </row>
    <row r="184" spans="1:10" ht="15" customHeight="1">
      <c r="A184" s="349"/>
      <c r="B184" s="346">
        <f t="shared" si="16"/>
      </c>
      <c r="C184" s="346">
        <f t="shared" si="22"/>
      </c>
      <c r="D184" s="346">
        <f t="shared" si="17"/>
      </c>
      <c r="E184" s="347" t="e">
        <f t="shared" si="18"/>
        <v>#VALUE!</v>
      </c>
      <c r="F184" s="348" t="e">
        <f t="shared" si="19"/>
        <v>#VALUE!</v>
      </c>
      <c r="G184" s="346">
        <f t="shared" si="20"/>
      </c>
      <c r="H184" s="346">
        <f t="shared" si="23"/>
      </c>
      <c r="I184" s="348" t="e">
        <f t="shared" si="21"/>
        <v>#VALUE!</v>
      </c>
      <c r="J184" s="348">
        <f>SUM($H$18:$H184)</f>
        <v>0</v>
      </c>
    </row>
    <row r="185" spans="1:10" ht="15" customHeight="1">
      <c r="A185" s="349"/>
      <c r="B185" s="346">
        <f t="shared" si="16"/>
      </c>
      <c r="C185" s="346">
        <f t="shared" si="22"/>
      </c>
      <c r="D185" s="346">
        <f t="shared" si="17"/>
      </c>
      <c r="E185" s="347" t="e">
        <f t="shared" si="18"/>
        <v>#VALUE!</v>
      </c>
      <c r="F185" s="348" t="e">
        <f t="shared" si="19"/>
        <v>#VALUE!</v>
      </c>
      <c r="G185" s="346">
        <f t="shared" si="20"/>
      </c>
      <c r="H185" s="346">
        <f t="shared" si="23"/>
      </c>
      <c r="I185" s="348" t="e">
        <f t="shared" si="21"/>
        <v>#VALUE!</v>
      </c>
      <c r="J185" s="348">
        <f>SUM($H$18:$H185)</f>
        <v>0</v>
      </c>
    </row>
    <row r="186" spans="1:10" ht="15" customHeight="1">
      <c r="A186" s="349"/>
      <c r="B186" s="346">
        <f t="shared" si="16"/>
      </c>
      <c r="C186" s="346">
        <f t="shared" si="22"/>
      </c>
      <c r="D186" s="346">
        <f t="shared" si="17"/>
      </c>
      <c r="E186" s="347" t="e">
        <f t="shared" si="18"/>
        <v>#VALUE!</v>
      </c>
      <c r="F186" s="348" t="e">
        <f t="shared" si="19"/>
        <v>#VALUE!</v>
      </c>
      <c r="G186" s="346">
        <f t="shared" si="20"/>
      </c>
      <c r="H186" s="346">
        <f t="shared" si="23"/>
      </c>
      <c r="I186" s="348" t="e">
        <f t="shared" si="21"/>
        <v>#VALUE!</v>
      </c>
      <c r="J186" s="348">
        <f>SUM($H$18:$H186)</f>
        <v>0</v>
      </c>
    </row>
    <row r="187" spans="1:10" ht="15" customHeight="1">
      <c r="A187" s="349"/>
      <c r="B187" s="346">
        <f t="shared" si="16"/>
      </c>
      <c r="C187" s="346">
        <f t="shared" si="22"/>
      </c>
      <c r="D187" s="346">
        <f t="shared" si="17"/>
      </c>
      <c r="E187" s="347" t="e">
        <f t="shared" si="18"/>
        <v>#VALUE!</v>
      </c>
      <c r="F187" s="348" t="e">
        <f t="shared" si="19"/>
        <v>#VALUE!</v>
      </c>
      <c r="G187" s="346">
        <f t="shared" si="20"/>
      </c>
      <c r="H187" s="346">
        <f t="shared" si="23"/>
      </c>
      <c r="I187" s="348" t="e">
        <f t="shared" si="21"/>
        <v>#VALUE!</v>
      </c>
      <c r="J187" s="348">
        <f>SUM($H$18:$H187)</f>
        <v>0</v>
      </c>
    </row>
    <row r="188" spans="1:10" ht="15" customHeight="1">
      <c r="A188" s="349"/>
      <c r="B188" s="346">
        <f t="shared" si="16"/>
      </c>
      <c r="C188" s="346">
        <f t="shared" si="22"/>
      </c>
      <c r="D188" s="346">
        <f t="shared" si="17"/>
      </c>
      <c r="E188" s="347" t="e">
        <f t="shared" si="18"/>
        <v>#VALUE!</v>
      </c>
      <c r="F188" s="348" t="e">
        <f t="shared" si="19"/>
        <v>#VALUE!</v>
      </c>
      <c r="G188" s="346">
        <f t="shared" si="20"/>
      </c>
      <c r="H188" s="346">
        <f t="shared" si="23"/>
      </c>
      <c r="I188" s="348" t="e">
        <f t="shared" si="21"/>
        <v>#VALUE!</v>
      </c>
      <c r="J188" s="348">
        <f>SUM($H$18:$H188)</f>
        <v>0</v>
      </c>
    </row>
    <row r="189" spans="1:10" ht="15" customHeight="1">
      <c r="A189" s="349"/>
      <c r="B189" s="346">
        <f t="shared" si="16"/>
      </c>
      <c r="C189" s="346">
        <f t="shared" si="22"/>
      </c>
      <c r="D189" s="346">
        <f t="shared" si="17"/>
      </c>
      <c r="E189" s="347" t="e">
        <f t="shared" si="18"/>
        <v>#VALUE!</v>
      </c>
      <c r="F189" s="348" t="e">
        <f t="shared" si="19"/>
        <v>#VALUE!</v>
      </c>
      <c r="G189" s="346">
        <f t="shared" si="20"/>
      </c>
      <c r="H189" s="346">
        <f t="shared" si="23"/>
      </c>
      <c r="I189" s="348" t="e">
        <f t="shared" si="21"/>
        <v>#VALUE!</v>
      </c>
      <c r="J189" s="348">
        <f>SUM($H$18:$H189)</f>
        <v>0</v>
      </c>
    </row>
    <row r="190" spans="1:10" ht="15" customHeight="1">
      <c r="A190" s="349"/>
      <c r="B190" s="346">
        <f t="shared" si="16"/>
      </c>
      <c r="C190" s="346">
        <f t="shared" si="22"/>
      </c>
      <c r="D190" s="346">
        <f t="shared" si="17"/>
      </c>
      <c r="E190" s="347" t="e">
        <f t="shared" si="18"/>
        <v>#VALUE!</v>
      </c>
      <c r="F190" s="348" t="e">
        <f t="shared" si="19"/>
        <v>#VALUE!</v>
      </c>
      <c r="G190" s="346">
        <f t="shared" si="20"/>
      </c>
      <c r="H190" s="346">
        <f t="shared" si="23"/>
      </c>
      <c r="I190" s="348" t="e">
        <f t="shared" si="21"/>
        <v>#VALUE!</v>
      </c>
      <c r="J190" s="348">
        <f>SUM($H$18:$H190)</f>
        <v>0</v>
      </c>
    </row>
    <row r="191" spans="1:10" ht="15" customHeight="1">
      <c r="A191" s="349"/>
      <c r="B191" s="346">
        <f t="shared" si="16"/>
      </c>
      <c r="C191" s="346">
        <f t="shared" si="22"/>
      </c>
      <c r="D191" s="346">
        <f t="shared" si="17"/>
      </c>
      <c r="E191" s="347" t="e">
        <f t="shared" si="18"/>
        <v>#VALUE!</v>
      </c>
      <c r="F191" s="348" t="e">
        <f t="shared" si="19"/>
        <v>#VALUE!</v>
      </c>
      <c r="G191" s="346">
        <f t="shared" si="20"/>
      </c>
      <c r="H191" s="346">
        <f t="shared" si="23"/>
      </c>
      <c r="I191" s="348" t="e">
        <f t="shared" si="21"/>
        <v>#VALUE!</v>
      </c>
      <c r="J191" s="348">
        <f>SUM($H$18:$H191)</f>
        <v>0</v>
      </c>
    </row>
    <row r="192" spans="1:10" ht="15" customHeight="1">
      <c r="A192" s="349"/>
      <c r="B192" s="346">
        <f t="shared" si="16"/>
      </c>
      <c r="C192" s="346">
        <f t="shared" si="22"/>
      </c>
      <c r="D192" s="346">
        <f t="shared" si="17"/>
      </c>
      <c r="E192" s="347" t="e">
        <f t="shared" si="18"/>
        <v>#VALUE!</v>
      </c>
      <c r="F192" s="348" t="e">
        <f t="shared" si="19"/>
        <v>#VALUE!</v>
      </c>
      <c r="G192" s="346">
        <f t="shared" si="20"/>
      </c>
      <c r="H192" s="346">
        <f t="shared" si="23"/>
      </c>
      <c r="I192" s="348" t="e">
        <f t="shared" si="21"/>
        <v>#VALUE!</v>
      </c>
      <c r="J192" s="348">
        <f>SUM($H$18:$H192)</f>
        <v>0</v>
      </c>
    </row>
    <row r="193" spans="1:10" ht="15" customHeight="1">
      <c r="A193" s="349"/>
      <c r="B193" s="346">
        <f t="shared" si="16"/>
      </c>
      <c r="C193" s="346">
        <f t="shared" si="22"/>
      </c>
      <c r="D193" s="346">
        <f t="shared" si="17"/>
      </c>
      <c r="E193" s="347" t="e">
        <f t="shared" si="18"/>
        <v>#VALUE!</v>
      </c>
      <c r="F193" s="348" t="e">
        <f t="shared" si="19"/>
        <v>#VALUE!</v>
      </c>
      <c r="G193" s="346">
        <f t="shared" si="20"/>
      </c>
      <c r="H193" s="346">
        <f t="shared" si="23"/>
      </c>
      <c r="I193" s="348" t="e">
        <f t="shared" si="21"/>
        <v>#VALUE!</v>
      </c>
      <c r="J193" s="348">
        <f>SUM($H$18:$H193)</f>
        <v>0</v>
      </c>
    </row>
    <row r="194" spans="1:10" ht="15" customHeight="1">
      <c r="A194" s="349"/>
      <c r="B194" s="346">
        <f t="shared" si="16"/>
      </c>
      <c r="C194" s="346">
        <f t="shared" si="22"/>
      </c>
      <c r="D194" s="346">
        <f t="shared" si="17"/>
      </c>
      <c r="E194" s="347" t="e">
        <f t="shared" si="18"/>
        <v>#VALUE!</v>
      </c>
      <c r="F194" s="348" t="e">
        <f t="shared" si="19"/>
        <v>#VALUE!</v>
      </c>
      <c r="G194" s="346">
        <f t="shared" si="20"/>
      </c>
      <c r="H194" s="346">
        <f t="shared" si="23"/>
      </c>
      <c r="I194" s="348" t="e">
        <f t="shared" si="21"/>
        <v>#VALUE!</v>
      </c>
      <c r="J194" s="348">
        <f>SUM($H$18:$H194)</f>
        <v>0</v>
      </c>
    </row>
    <row r="195" spans="1:10" ht="15" customHeight="1">
      <c r="A195" s="349"/>
      <c r="B195" s="346">
        <f t="shared" si="16"/>
      </c>
      <c r="C195" s="346">
        <f t="shared" si="22"/>
      </c>
      <c r="D195" s="346">
        <f t="shared" si="17"/>
      </c>
      <c r="E195" s="347" t="e">
        <f t="shared" si="18"/>
        <v>#VALUE!</v>
      </c>
      <c r="F195" s="348" t="e">
        <f t="shared" si="19"/>
        <v>#VALUE!</v>
      </c>
      <c r="G195" s="346">
        <f t="shared" si="20"/>
      </c>
      <c r="H195" s="346">
        <f t="shared" si="23"/>
      </c>
      <c r="I195" s="348" t="e">
        <f t="shared" si="21"/>
        <v>#VALUE!</v>
      </c>
      <c r="J195" s="348">
        <f>SUM($H$18:$H195)</f>
        <v>0</v>
      </c>
    </row>
    <row r="196" spans="1:10" ht="15" customHeight="1">
      <c r="A196" s="349"/>
      <c r="B196" s="346">
        <f t="shared" si="16"/>
      </c>
      <c r="C196" s="346">
        <f t="shared" si="22"/>
      </c>
      <c r="D196" s="346">
        <f t="shared" si="17"/>
      </c>
      <c r="E196" s="347" t="e">
        <f t="shared" si="18"/>
        <v>#VALUE!</v>
      </c>
      <c r="F196" s="348" t="e">
        <f t="shared" si="19"/>
        <v>#VALUE!</v>
      </c>
      <c r="G196" s="346">
        <f t="shared" si="20"/>
      </c>
      <c r="H196" s="346">
        <f t="shared" si="23"/>
      </c>
      <c r="I196" s="348" t="e">
        <f t="shared" si="21"/>
        <v>#VALUE!</v>
      </c>
      <c r="J196" s="348">
        <f>SUM($H$18:$H196)</f>
        <v>0</v>
      </c>
    </row>
    <row r="197" spans="1:10" ht="15" customHeight="1">
      <c r="A197" s="349"/>
      <c r="B197" s="346">
        <f t="shared" si="16"/>
      </c>
      <c r="C197" s="346">
        <f t="shared" si="22"/>
      </c>
      <c r="D197" s="346">
        <f t="shared" si="17"/>
      </c>
      <c r="E197" s="347" t="e">
        <f t="shared" si="18"/>
        <v>#VALUE!</v>
      </c>
      <c r="F197" s="348" t="e">
        <f t="shared" si="19"/>
        <v>#VALUE!</v>
      </c>
      <c r="G197" s="346">
        <f t="shared" si="20"/>
      </c>
      <c r="H197" s="346">
        <f t="shared" si="23"/>
      </c>
      <c r="I197" s="348" t="e">
        <f t="shared" si="21"/>
        <v>#VALUE!</v>
      </c>
      <c r="J197" s="348">
        <f>SUM($H$18:$H197)</f>
        <v>0</v>
      </c>
    </row>
    <row r="198" spans="1:10" ht="15" customHeight="1">
      <c r="A198" s="349"/>
      <c r="B198" s="346">
        <f t="shared" si="16"/>
      </c>
      <c r="C198" s="346">
        <f t="shared" si="22"/>
      </c>
      <c r="D198" s="346">
        <f t="shared" si="17"/>
      </c>
      <c r="E198" s="347" t="e">
        <f t="shared" si="18"/>
        <v>#VALUE!</v>
      </c>
      <c r="F198" s="348" t="e">
        <f t="shared" si="19"/>
        <v>#VALUE!</v>
      </c>
      <c r="G198" s="346">
        <f t="shared" si="20"/>
      </c>
      <c r="H198" s="346">
        <f t="shared" si="23"/>
      </c>
      <c r="I198" s="348" t="e">
        <f t="shared" si="21"/>
        <v>#VALUE!</v>
      </c>
      <c r="J198" s="348">
        <f>SUM($H$18:$H198)</f>
        <v>0</v>
      </c>
    </row>
    <row r="199" spans="1:10" ht="15" customHeight="1">
      <c r="A199" s="349"/>
      <c r="B199" s="346">
        <f t="shared" si="16"/>
      </c>
      <c r="C199" s="346">
        <f t="shared" si="22"/>
      </c>
      <c r="D199" s="346">
        <f t="shared" si="17"/>
      </c>
      <c r="E199" s="347" t="e">
        <f t="shared" si="18"/>
        <v>#VALUE!</v>
      </c>
      <c r="F199" s="348" t="e">
        <f t="shared" si="19"/>
        <v>#VALUE!</v>
      </c>
      <c r="G199" s="346">
        <f t="shared" si="20"/>
      </c>
      <c r="H199" s="346">
        <f t="shared" si="23"/>
      </c>
      <c r="I199" s="348" t="e">
        <f t="shared" si="21"/>
        <v>#VALUE!</v>
      </c>
      <c r="J199" s="348">
        <f>SUM($H$18:$H199)</f>
        <v>0</v>
      </c>
    </row>
    <row r="200" spans="1:10" ht="15" customHeight="1">
      <c r="A200" s="349"/>
      <c r="B200" s="346">
        <f t="shared" si="16"/>
      </c>
      <c r="C200" s="346">
        <f t="shared" si="22"/>
      </c>
      <c r="D200" s="346">
        <f t="shared" si="17"/>
      </c>
      <c r="E200" s="347" t="e">
        <f t="shared" si="18"/>
        <v>#VALUE!</v>
      </c>
      <c r="F200" s="348" t="e">
        <f t="shared" si="19"/>
        <v>#VALUE!</v>
      </c>
      <c r="G200" s="346">
        <f t="shared" si="20"/>
      </c>
      <c r="H200" s="346">
        <f t="shared" si="23"/>
      </c>
      <c r="I200" s="348" t="e">
        <f t="shared" si="21"/>
        <v>#VALUE!</v>
      </c>
      <c r="J200" s="348">
        <f>SUM($H$18:$H200)</f>
        <v>0</v>
      </c>
    </row>
    <row r="201" spans="1:10" ht="15" customHeight="1">
      <c r="A201" s="349"/>
      <c r="B201" s="346">
        <f t="shared" si="16"/>
      </c>
      <c r="C201" s="346">
        <f t="shared" si="22"/>
      </c>
      <c r="D201" s="346">
        <f t="shared" si="17"/>
      </c>
      <c r="E201" s="347" t="e">
        <f t="shared" si="18"/>
        <v>#VALUE!</v>
      </c>
      <c r="F201" s="348" t="e">
        <f t="shared" si="19"/>
        <v>#VALUE!</v>
      </c>
      <c r="G201" s="346">
        <f t="shared" si="20"/>
      </c>
      <c r="H201" s="346">
        <f t="shared" si="23"/>
      </c>
      <c r="I201" s="348" t="e">
        <f t="shared" si="21"/>
        <v>#VALUE!</v>
      </c>
      <c r="J201" s="348">
        <f>SUM($H$18:$H201)</f>
        <v>0</v>
      </c>
    </row>
    <row r="202" spans="1:10" ht="15" customHeight="1">
      <c r="A202" s="349"/>
      <c r="B202" s="346">
        <f t="shared" si="16"/>
      </c>
      <c r="C202" s="346">
        <f t="shared" si="22"/>
      </c>
      <c r="D202" s="346">
        <f t="shared" si="17"/>
      </c>
      <c r="E202" s="347" t="e">
        <f t="shared" si="18"/>
        <v>#VALUE!</v>
      </c>
      <c r="F202" s="348" t="e">
        <f t="shared" si="19"/>
        <v>#VALUE!</v>
      </c>
      <c r="G202" s="346">
        <f t="shared" si="20"/>
      </c>
      <c r="H202" s="346">
        <f t="shared" si="23"/>
      </c>
      <c r="I202" s="348" t="e">
        <f t="shared" si="21"/>
        <v>#VALUE!</v>
      </c>
      <c r="J202" s="348">
        <f>SUM($H$18:$H202)</f>
        <v>0</v>
      </c>
    </row>
    <row r="203" spans="1:10" ht="15" customHeight="1">
      <c r="A203" s="349"/>
      <c r="B203" s="346">
        <f t="shared" si="16"/>
      </c>
      <c r="C203" s="346">
        <f t="shared" si="22"/>
      </c>
      <c r="D203" s="346">
        <f t="shared" si="17"/>
      </c>
      <c r="E203" s="347" t="e">
        <f t="shared" si="18"/>
        <v>#VALUE!</v>
      </c>
      <c r="F203" s="348" t="e">
        <f t="shared" si="19"/>
        <v>#VALUE!</v>
      </c>
      <c r="G203" s="346">
        <f t="shared" si="20"/>
      </c>
      <c r="H203" s="346">
        <f t="shared" si="23"/>
      </c>
      <c r="I203" s="348" t="e">
        <f t="shared" si="21"/>
        <v>#VALUE!</v>
      </c>
      <c r="J203" s="348">
        <f>SUM($H$18:$H203)</f>
        <v>0</v>
      </c>
    </row>
    <row r="204" spans="1:10" ht="15" customHeight="1">
      <c r="A204" s="349"/>
      <c r="B204" s="346">
        <f t="shared" si="16"/>
      </c>
      <c r="C204" s="346">
        <f t="shared" si="22"/>
      </c>
      <c r="D204" s="346">
        <f t="shared" si="17"/>
      </c>
      <c r="E204" s="347" t="e">
        <f t="shared" si="18"/>
        <v>#VALUE!</v>
      </c>
      <c r="F204" s="348" t="e">
        <f t="shared" si="19"/>
        <v>#VALUE!</v>
      </c>
      <c r="G204" s="346">
        <f t="shared" si="20"/>
      </c>
      <c r="H204" s="346">
        <f t="shared" si="23"/>
      </c>
      <c r="I204" s="348" t="e">
        <f t="shared" si="21"/>
        <v>#VALUE!</v>
      </c>
      <c r="J204" s="348">
        <f>SUM($H$18:$H204)</f>
        <v>0</v>
      </c>
    </row>
    <row r="205" spans="1:10" ht="15" customHeight="1">
      <c r="A205" s="349"/>
      <c r="B205" s="346">
        <f t="shared" si="16"/>
      </c>
      <c r="C205" s="346">
        <f t="shared" si="22"/>
      </c>
      <c r="D205" s="346">
        <f t="shared" si="17"/>
      </c>
      <c r="E205" s="347" t="e">
        <f t="shared" si="18"/>
        <v>#VALUE!</v>
      </c>
      <c r="F205" s="348" t="e">
        <f t="shared" si="19"/>
        <v>#VALUE!</v>
      </c>
      <c r="G205" s="346">
        <f t="shared" si="20"/>
      </c>
      <c r="H205" s="346">
        <f t="shared" si="23"/>
      </c>
      <c r="I205" s="348" t="e">
        <f t="shared" si="21"/>
        <v>#VALUE!</v>
      </c>
      <c r="J205" s="348">
        <f>SUM($H$18:$H205)</f>
        <v>0</v>
      </c>
    </row>
    <row r="206" spans="1:10" ht="15" customHeight="1">
      <c r="A206" s="349"/>
      <c r="B206" s="346">
        <f t="shared" si="16"/>
      </c>
      <c r="C206" s="346">
        <f t="shared" si="22"/>
      </c>
      <c r="D206" s="346">
        <f t="shared" si="17"/>
      </c>
      <c r="E206" s="347" t="e">
        <f t="shared" si="18"/>
        <v>#VALUE!</v>
      </c>
      <c r="F206" s="348" t="e">
        <f t="shared" si="19"/>
        <v>#VALUE!</v>
      </c>
      <c r="G206" s="346">
        <f t="shared" si="20"/>
      </c>
      <c r="H206" s="346">
        <f t="shared" si="23"/>
      </c>
      <c r="I206" s="348" t="e">
        <f t="shared" si="21"/>
        <v>#VALUE!</v>
      </c>
      <c r="J206" s="348">
        <f>SUM($H$18:$H206)</f>
        <v>0</v>
      </c>
    </row>
    <row r="207" spans="1:10" ht="15" customHeight="1">
      <c r="A207" s="349"/>
      <c r="B207" s="346">
        <f t="shared" si="16"/>
      </c>
      <c r="C207" s="346">
        <f t="shared" si="22"/>
      </c>
      <c r="D207" s="346">
        <f t="shared" si="17"/>
      </c>
      <c r="E207" s="347" t="e">
        <f t="shared" si="18"/>
        <v>#VALUE!</v>
      </c>
      <c r="F207" s="348" t="e">
        <f t="shared" si="19"/>
        <v>#VALUE!</v>
      </c>
      <c r="G207" s="346">
        <f t="shared" si="20"/>
      </c>
      <c r="H207" s="346">
        <f t="shared" si="23"/>
      </c>
      <c r="I207" s="348" t="e">
        <f t="shared" si="21"/>
        <v>#VALUE!</v>
      </c>
      <c r="J207" s="348">
        <f>SUM($H$18:$H207)</f>
        <v>0</v>
      </c>
    </row>
    <row r="208" spans="1:10" ht="15" customHeight="1">
      <c r="A208" s="349"/>
      <c r="B208" s="346">
        <f t="shared" si="16"/>
      </c>
      <c r="C208" s="346">
        <f t="shared" si="22"/>
      </c>
      <c r="D208" s="346">
        <f t="shared" si="17"/>
      </c>
      <c r="E208" s="347" t="e">
        <f t="shared" si="18"/>
        <v>#VALUE!</v>
      </c>
      <c r="F208" s="348" t="e">
        <f t="shared" si="19"/>
        <v>#VALUE!</v>
      </c>
      <c r="G208" s="346">
        <f t="shared" si="20"/>
      </c>
      <c r="H208" s="346">
        <f t="shared" si="23"/>
      </c>
      <c r="I208" s="348" t="e">
        <f t="shared" si="21"/>
        <v>#VALUE!</v>
      </c>
      <c r="J208" s="348">
        <f>SUM($H$18:$H208)</f>
        <v>0</v>
      </c>
    </row>
    <row r="209" spans="1:10" ht="15" customHeight="1">
      <c r="A209" s="349"/>
      <c r="B209" s="346">
        <f t="shared" si="16"/>
      </c>
      <c r="C209" s="346">
        <f t="shared" si="22"/>
      </c>
      <c r="D209" s="346">
        <f t="shared" si="17"/>
      </c>
      <c r="E209" s="347" t="e">
        <f t="shared" si="18"/>
        <v>#VALUE!</v>
      </c>
      <c r="F209" s="348" t="e">
        <f t="shared" si="19"/>
        <v>#VALUE!</v>
      </c>
      <c r="G209" s="346">
        <f t="shared" si="20"/>
      </c>
      <c r="H209" s="346">
        <f t="shared" si="23"/>
      </c>
      <c r="I209" s="348" t="e">
        <f t="shared" si="21"/>
        <v>#VALUE!</v>
      </c>
      <c r="J209" s="348">
        <f>SUM($H$18:$H209)</f>
        <v>0</v>
      </c>
    </row>
    <row r="210" spans="1:10" ht="15" customHeight="1">
      <c r="A210" s="349"/>
      <c r="B210" s="346">
        <f aca="true" t="shared" si="24" ref="B210:B273">IF($A$18:$A$377&lt;&gt;"",DATE(YEAR($D$9),MONTH($D$9)+($A$18:$A$377)*12/$D$8,DAY($D$9)),"")</f>
      </c>
      <c r="C210" s="346">
        <f t="shared" si="22"/>
      </c>
      <c r="D210" s="346">
        <f aca="true" t="shared" si="25" ref="D210:D273">IF($A$18:$A$377&lt;&gt;"",$H$5,"")</f>
      </c>
      <c r="E210" s="347" t="e">
        <f aca="true" t="shared" si="26" ref="E210:E273">IF(AND($A$18:$A$377&lt;&gt;"",$D$18:$D$377+$D$10&lt;$C$18:$C$377),$D$10,IF(AND($A$18:$A$377&lt;&gt;"",$C$18:$C$377-$D$18:$D$377&gt;0),$C$18:$C$377-$D$18:$D$377,IF($A$18:$A$377&lt;&gt;"",0,"")))</f>
        <v>#VALUE!</v>
      </c>
      <c r="F210" s="348" t="e">
        <f aca="true" t="shared" si="27" ref="F210:F273">IF(AND($A$18:$A$377&lt;&gt;"",$D$18:$D$377+$E$18:$E$377&lt;$C$18:$C$377),$D$18:$D$377+$E$18:$E$377,IF($A$18:$A$377&lt;&gt;"",$C$18:$C$377,""))</f>
        <v>#VALUE!</v>
      </c>
      <c r="G210" s="346">
        <f aca="true" t="shared" si="28" ref="G210:G273">IF($A$18:$A$377&lt;&gt;"",$F$18:$F$377-$H$18:$H$377,"")</f>
      </c>
      <c r="H210" s="346">
        <f t="shared" si="23"/>
      </c>
      <c r="I210" s="348" t="e">
        <f aca="true" t="shared" si="29" ref="I210:I273">IF(AND($A$18:$A$377&lt;&gt;"",$D$18:$D$377+$E$18:$E$377&lt;$C$18:$C$377),$C$18:$C$377-$G$18:$G$377,IF($A$18:$A$377&lt;&gt;"",0,""))</f>
        <v>#VALUE!</v>
      </c>
      <c r="J210" s="348">
        <f>SUM($H$18:$H210)</f>
        <v>0</v>
      </c>
    </row>
    <row r="211" spans="1:10" ht="15" customHeight="1">
      <c r="A211" s="345"/>
      <c r="B211" s="346">
        <f t="shared" si="24"/>
      </c>
      <c r="C211" s="346">
        <f aca="true" t="shared" si="30" ref="C211:C274">IF($A$18:$A$377&lt;&gt;"",I210,"")</f>
      </c>
      <c r="D211" s="346">
        <f t="shared" si="25"/>
      </c>
      <c r="E211" s="347" t="e">
        <f t="shared" si="26"/>
        <v>#VALUE!</v>
      </c>
      <c r="F211" s="348" t="e">
        <f t="shared" si="27"/>
        <v>#VALUE!</v>
      </c>
      <c r="G211" s="346">
        <f t="shared" si="28"/>
      </c>
      <c r="H211" s="346">
        <f aca="true" t="shared" si="31" ref="H211:H274">IF($A$18:$A$377&lt;&gt;"",$C$18:$C$377*$D$6/$D$8,"")</f>
      </c>
      <c r="I211" s="348" t="e">
        <f t="shared" si="29"/>
        <v>#VALUE!</v>
      </c>
      <c r="J211" s="348">
        <f>SUM($H$18:$H211)</f>
        <v>0</v>
      </c>
    </row>
    <row r="212" spans="1:10" ht="15" customHeight="1">
      <c r="A212" s="349"/>
      <c r="B212" s="346">
        <f t="shared" si="24"/>
      </c>
      <c r="C212" s="346">
        <f t="shared" si="30"/>
      </c>
      <c r="D212" s="346">
        <f t="shared" si="25"/>
      </c>
      <c r="E212" s="347" t="e">
        <f t="shared" si="26"/>
        <v>#VALUE!</v>
      </c>
      <c r="F212" s="348" t="e">
        <f t="shared" si="27"/>
        <v>#VALUE!</v>
      </c>
      <c r="G212" s="346">
        <f t="shared" si="28"/>
      </c>
      <c r="H212" s="346">
        <f t="shared" si="31"/>
      </c>
      <c r="I212" s="348" t="e">
        <f t="shared" si="29"/>
        <v>#VALUE!</v>
      </c>
      <c r="J212" s="348">
        <f>SUM($H$18:$H212)</f>
        <v>0</v>
      </c>
    </row>
    <row r="213" spans="1:10" ht="15" customHeight="1">
      <c r="A213" s="349"/>
      <c r="B213" s="346">
        <f t="shared" si="24"/>
      </c>
      <c r="C213" s="346">
        <f t="shared" si="30"/>
      </c>
      <c r="D213" s="346">
        <f t="shared" si="25"/>
      </c>
      <c r="E213" s="347" t="e">
        <f t="shared" si="26"/>
        <v>#VALUE!</v>
      </c>
      <c r="F213" s="348" t="e">
        <f t="shared" si="27"/>
        <v>#VALUE!</v>
      </c>
      <c r="G213" s="346">
        <f t="shared" si="28"/>
      </c>
      <c r="H213" s="346">
        <f t="shared" si="31"/>
      </c>
      <c r="I213" s="348" t="e">
        <f t="shared" si="29"/>
        <v>#VALUE!</v>
      </c>
      <c r="J213" s="348">
        <f>SUM($H$18:$H213)</f>
        <v>0</v>
      </c>
    </row>
    <row r="214" spans="1:10" ht="15" customHeight="1">
      <c r="A214" s="349"/>
      <c r="B214" s="346">
        <f t="shared" si="24"/>
      </c>
      <c r="C214" s="346">
        <f t="shared" si="30"/>
      </c>
      <c r="D214" s="346">
        <f t="shared" si="25"/>
      </c>
      <c r="E214" s="347" t="e">
        <f t="shared" si="26"/>
        <v>#VALUE!</v>
      </c>
      <c r="F214" s="348" t="e">
        <f t="shared" si="27"/>
        <v>#VALUE!</v>
      </c>
      <c r="G214" s="346">
        <f t="shared" si="28"/>
      </c>
      <c r="H214" s="346">
        <f t="shared" si="31"/>
      </c>
      <c r="I214" s="348" t="e">
        <f t="shared" si="29"/>
        <v>#VALUE!</v>
      </c>
      <c r="J214" s="348">
        <f>SUM($H$18:$H214)</f>
        <v>0</v>
      </c>
    </row>
    <row r="215" spans="1:10" ht="15" customHeight="1">
      <c r="A215" s="349"/>
      <c r="B215" s="346">
        <f t="shared" si="24"/>
      </c>
      <c r="C215" s="346">
        <f t="shared" si="30"/>
      </c>
      <c r="D215" s="346">
        <f t="shared" si="25"/>
      </c>
      <c r="E215" s="347" t="e">
        <f t="shared" si="26"/>
        <v>#VALUE!</v>
      </c>
      <c r="F215" s="348" t="e">
        <f t="shared" si="27"/>
        <v>#VALUE!</v>
      </c>
      <c r="G215" s="346">
        <f t="shared" si="28"/>
      </c>
      <c r="H215" s="346">
        <f t="shared" si="31"/>
      </c>
      <c r="I215" s="348" t="e">
        <f t="shared" si="29"/>
        <v>#VALUE!</v>
      </c>
      <c r="J215" s="348">
        <f>SUM($H$18:$H215)</f>
        <v>0</v>
      </c>
    </row>
    <row r="216" spans="1:10" ht="15" customHeight="1">
      <c r="A216" s="349"/>
      <c r="B216" s="346">
        <f t="shared" si="24"/>
      </c>
      <c r="C216" s="346">
        <f t="shared" si="30"/>
      </c>
      <c r="D216" s="346">
        <f t="shared" si="25"/>
      </c>
      <c r="E216" s="347" t="e">
        <f t="shared" si="26"/>
        <v>#VALUE!</v>
      </c>
      <c r="F216" s="348" t="e">
        <f t="shared" si="27"/>
        <v>#VALUE!</v>
      </c>
      <c r="G216" s="346">
        <f t="shared" si="28"/>
      </c>
      <c r="H216" s="346">
        <f t="shared" si="31"/>
      </c>
      <c r="I216" s="348" t="e">
        <f t="shared" si="29"/>
        <v>#VALUE!</v>
      </c>
      <c r="J216" s="348">
        <f>SUM($H$18:$H216)</f>
        <v>0</v>
      </c>
    </row>
    <row r="217" spans="1:10" ht="15" customHeight="1">
      <c r="A217" s="349"/>
      <c r="B217" s="346">
        <f t="shared" si="24"/>
      </c>
      <c r="C217" s="346">
        <f t="shared" si="30"/>
      </c>
      <c r="D217" s="346">
        <f t="shared" si="25"/>
      </c>
      <c r="E217" s="347" t="e">
        <f t="shared" si="26"/>
        <v>#VALUE!</v>
      </c>
      <c r="F217" s="348" t="e">
        <f t="shared" si="27"/>
        <v>#VALUE!</v>
      </c>
      <c r="G217" s="346">
        <f t="shared" si="28"/>
      </c>
      <c r="H217" s="346">
        <f t="shared" si="31"/>
      </c>
      <c r="I217" s="348" t="e">
        <f t="shared" si="29"/>
        <v>#VALUE!</v>
      </c>
      <c r="J217" s="348">
        <f>SUM($H$18:$H217)</f>
        <v>0</v>
      </c>
    </row>
    <row r="218" spans="1:10" ht="15" customHeight="1">
      <c r="A218" s="349"/>
      <c r="B218" s="346">
        <f t="shared" si="24"/>
      </c>
      <c r="C218" s="346">
        <f t="shared" si="30"/>
      </c>
      <c r="D218" s="346">
        <f t="shared" si="25"/>
      </c>
      <c r="E218" s="347" t="e">
        <f t="shared" si="26"/>
        <v>#VALUE!</v>
      </c>
      <c r="F218" s="348" t="e">
        <f t="shared" si="27"/>
        <v>#VALUE!</v>
      </c>
      <c r="G218" s="346">
        <f t="shared" si="28"/>
      </c>
      <c r="H218" s="346">
        <f t="shared" si="31"/>
      </c>
      <c r="I218" s="348" t="e">
        <f t="shared" si="29"/>
        <v>#VALUE!</v>
      </c>
      <c r="J218" s="348">
        <f>SUM($H$18:$H218)</f>
        <v>0</v>
      </c>
    </row>
    <row r="219" spans="1:10" ht="15" customHeight="1">
      <c r="A219" s="349"/>
      <c r="B219" s="346">
        <f t="shared" si="24"/>
      </c>
      <c r="C219" s="346">
        <f t="shared" si="30"/>
      </c>
      <c r="D219" s="346">
        <f t="shared" si="25"/>
      </c>
      <c r="E219" s="347" t="e">
        <f t="shared" si="26"/>
        <v>#VALUE!</v>
      </c>
      <c r="F219" s="348" t="e">
        <f t="shared" si="27"/>
        <v>#VALUE!</v>
      </c>
      <c r="G219" s="346">
        <f t="shared" si="28"/>
      </c>
      <c r="H219" s="346">
        <f t="shared" si="31"/>
      </c>
      <c r="I219" s="348" t="e">
        <f t="shared" si="29"/>
        <v>#VALUE!</v>
      </c>
      <c r="J219" s="348">
        <f>SUM($H$18:$H219)</f>
        <v>0</v>
      </c>
    </row>
    <row r="220" spans="1:10" ht="15" customHeight="1">
      <c r="A220" s="349"/>
      <c r="B220" s="346">
        <f t="shared" si="24"/>
      </c>
      <c r="C220" s="346">
        <f t="shared" si="30"/>
      </c>
      <c r="D220" s="346">
        <f t="shared" si="25"/>
      </c>
      <c r="E220" s="347" t="e">
        <f t="shared" si="26"/>
        <v>#VALUE!</v>
      </c>
      <c r="F220" s="348" t="e">
        <f t="shared" si="27"/>
        <v>#VALUE!</v>
      </c>
      <c r="G220" s="346">
        <f t="shared" si="28"/>
      </c>
      <c r="H220" s="346">
        <f t="shared" si="31"/>
      </c>
      <c r="I220" s="348" t="e">
        <f t="shared" si="29"/>
        <v>#VALUE!</v>
      </c>
      <c r="J220" s="348">
        <f>SUM($H$18:$H220)</f>
        <v>0</v>
      </c>
    </row>
    <row r="221" spans="1:10" ht="15" customHeight="1">
      <c r="A221" s="349"/>
      <c r="B221" s="346">
        <f t="shared" si="24"/>
      </c>
      <c r="C221" s="346">
        <f t="shared" si="30"/>
      </c>
      <c r="D221" s="346">
        <f t="shared" si="25"/>
      </c>
      <c r="E221" s="347" t="e">
        <f t="shared" si="26"/>
        <v>#VALUE!</v>
      </c>
      <c r="F221" s="348" t="e">
        <f t="shared" si="27"/>
        <v>#VALUE!</v>
      </c>
      <c r="G221" s="346">
        <f t="shared" si="28"/>
      </c>
      <c r="H221" s="346">
        <f t="shared" si="31"/>
      </c>
      <c r="I221" s="348" t="e">
        <f t="shared" si="29"/>
        <v>#VALUE!</v>
      </c>
      <c r="J221" s="348">
        <f>SUM($H$18:$H221)</f>
        <v>0</v>
      </c>
    </row>
    <row r="222" spans="1:10" ht="15" customHeight="1">
      <c r="A222" s="349"/>
      <c r="B222" s="346">
        <f t="shared" si="24"/>
      </c>
      <c r="C222" s="346">
        <f t="shared" si="30"/>
      </c>
      <c r="D222" s="346">
        <f t="shared" si="25"/>
      </c>
      <c r="E222" s="347" t="e">
        <f t="shared" si="26"/>
        <v>#VALUE!</v>
      </c>
      <c r="F222" s="348" t="e">
        <f t="shared" si="27"/>
        <v>#VALUE!</v>
      </c>
      <c r="G222" s="346">
        <f t="shared" si="28"/>
      </c>
      <c r="H222" s="346">
        <f t="shared" si="31"/>
      </c>
      <c r="I222" s="348" t="e">
        <f t="shared" si="29"/>
        <v>#VALUE!</v>
      </c>
      <c r="J222" s="348">
        <f>SUM($H$18:$H222)</f>
        <v>0</v>
      </c>
    </row>
    <row r="223" spans="1:10" ht="15" customHeight="1">
      <c r="A223" s="349"/>
      <c r="B223" s="346">
        <f t="shared" si="24"/>
      </c>
      <c r="C223" s="346">
        <f t="shared" si="30"/>
      </c>
      <c r="D223" s="346">
        <f t="shared" si="25"/>
      </c>
      <c r="E223" s="347" t="e">
        <f t="shared" si="26"/>
        <v>#VALUE!</v>
      </c>
      <c r="F223" s="348" t="e">
        <f t="shared" si="27"/>
        <v>#VALUE!</v>
      </c>
      <c r="G223" s="346">
        <f t="shared" si="28"/>
      </c>
      <c r="H223" s="346">
        <f t="shared" si="31"/>
      </c>
      <c r="I223" s="348" t="e">
        <f t="shared" si="29"/>
        <v>#VALUE!</v>
      </c>
      <c r="J223" s="348">
        <f>SUM($H$18:$H223)</f>
        <v>0</v>
      </c>
    </row>
    <row r="224" spans="1:10" ht="15" customHeight="1">
      <c r="A224" s="349"/>
      <c r="B224" s="346">
        <f t="shared" si="24"/>
      </c>
      <c r="C224" s="346">
        <f t="shared" si="30"/>
      </c>
      <c r="D224" s="346">
        <f t="shared" si="25"/>
      </c>
      <c r="E224" s="347" t="e">
        <f t="shared" si="26"/>
        <v>#VALUE!</v>
      </c>
      <c r="F224" s="348" t="e">
        <f t="shared" si="27"/>
        <v>#VALUE!</v>
      </c>
      <c r="G224" s="346">
        <f t="shared" si="28"/>
      </c>
      <c r="H224" s="346">
        <f t="shared" si="31"/>
      </c>
      <c r="I224" s="348" t="e">
        <f t="shared" si="29"/>
        <v>#VALUE!</v>
      </c>
      <c r="J224" s="348">
        <f>SUM($H$18:$H224)</f>
        <v>0</v>
      </c>
    </row>
    <row r="225" spans="1:10" ht="15" customHeight="1">
      <c r="A225" s="349"/>
      <c r="B225" s="346">
        <f t="shared" si="24"/>
      </c>
      <c r="C225" s="346">
        <f t="shared" si="30"/>
      </c>
      <c r="D225" s="346">
        <f t="shared" si="25"/>
      </c>
      <c r="E225" s="347" t="e">
        <f t="shared" si="26"/>
        <v>#VALUE!</v>
      </c>
      <c r="F225" s="348" t="e">
        <f t="shared" si="27"/>
        <v>#VALUE!</v>
      </c>
      <c r="G225" s="346">
        <f t="shared" si="28"/>
      </c>
      <c r="H225" s="346">
        <f t="shared" si="31"/>
      </c>
      <c r="I225" s="348" t="e">
        <f t="shared" si="29"/>
        <v>#VALUE!</v>
      </c>
      <c r="J225" s="348">
        <f>SUM($H$18:$H225)</f>
        <v>0</v>
      </c>
    </row>
    <row r="226" spans="1:10" ht="15" customHeight="1">
      <c r="A226" s="349"/>
      <c r="B226" s="346">
        <f t="shared" si="24"/>
      </c>
      <c r="C226" s="346">
        <f t="shared" si="30"/>
      </c>
      <c r="D226" s="346">
        <f t="shared" si="25"/>
      </c>
      <c r="E226" s="347" t="e">
        <f t="shared" si="26"/>
        <v>#VALUE!</v>
      </c>
      <c r="F226" s="348" t="e">
        <f t="shared" si="27"/>
        <v>#VALUE!</v>
      </c>
      <c r="G226" s="346">
        <f t="shared" si="28"/>
      </c>
      <c r="H226" s="346">
        <f t="shared" si="31"/>
      </c>
      <c r="I226" s="348" t="e">
        <f t="shared" si="29"/>
        <v>#VALUE!</v>
      </c>
      <c r="J226" s="348">
        <f>SUM($H$18:$H226)</f>
        <v>0</v>
      </c>
    </row>
    <row r="227" spans="1:10" ht="15" customHeight="1">
      <c r="A227" s="349"/>
      <c r="B227" s="346">
        <f t="shared" si="24"/>
      </c>
      <c r="C227" s="346">
        <f t="shared" si="30"/>
      </c>
      <c r="D227" s="346">
        <f t="shared" si="25"/>
      </c>
      <c r="E227" s="347" t="e">
        <f t="shared" si="26"/>
        <v>#VALUE!</v>
      </c>
      <c r="F227" s="348" t="e">
        <f t="shared" si="27"/>
        <v>#VALUE!</v>
      </c>
      <c r="G227" s="346">
        <f t="shared" si="28"/>
      </c>
      <c r="H227" s="346">
        <f t="shared" si="31"/>
      </c>
      <c r="I227" s="348" t="e">
        <f t="shared" si="29"/>
        <v>#VALUE!</v>
      </c>
      <c r="J227" s="348">
        <f>SUM($H$18:$H227)</f>
        <v>0</v>
      </c>
    </row>
    <row r="228" spans="1:10" ht="15" customHeight="1">
      <c r="A228" s="349"/>
      <c r="B228" s="346">
        <f t="shared" si="24"/>
      </c>
      <c r="C228" s="346">
        <f t="shared" si="30"/>
      </c>
      <c r="D228" s="346">
        <f t="shared" si="25"/>
      </c>
      <c r="E228" s="347" t="e">
        <f t="shared" si="26"/>
        <v>#VALUE!</v>
      </c>
      <c r="F228" s="348" t="e">
        <f t="shared" si="27"/>
        <v>#VALUE!</v>
      </c>
      <c r="G228" s="346">
        <f t="shared" si="28"/>
      </c>
      <c r="H228" s="346">
        <f t="shared" si="31"/>
      </c>
      <c r="I228" s="348" t="e">
        <f t="shared" si="29"/>
        <v>#VALUE!</v>
      </c>
      <c r="J228" s="348">
        <f>SUM($H$18:$H228)</f>
        <v>0</v>
      </c>
    </row>
    <row r="229" spans="1:10" ht="15" customHeight="1">
      <c r="A229" s="349"/>
      <c r="B229" s="346">
        <f t="shared" si="24"/>
      </c>
      <c r="C229" s="346">
        <f t="shared" si="30"/>
      </c>
      <c r="D229" s="346">
        <f t="shared" si="25"/>
      </c>
      <c r="E229" s="347" t="e">
        <f t="shared" si="26"/>
        <v>#VALUE!</v>
      </c>
      <c r="F229" s="348" t="e">
        <f t="shared" si="27"/>
        <v>#VALUE!</v>
      </c>
      <c r="G229" s="346">
        <f t="shared" si="28"/>
      </c>
      <c r="H229" s="346">
        <f t="shared" si="31"/>
      </c>
      <c r="I229" s="348" t="e">
        <f t="shared" si="29"/>
        <v>#VALUE!</v>
      </c>
      <c r="J229" s="348">
        <f>SUM($H$18:$H229)</f>
        <v>0</v>
      </c>
    </row>
    <row r="230" spans="1:10" ht="15" customHeight="1">
      <c r="A230" s="349"/>
      <c r="B230" s="346">
        <f t="shared" si="24"/>
      </c>
      <c r="C230" s="346">
        <f t="shared" si="30"/>
      </c>
      <c r="D230" s="346">
        <f t="shared" si="25"/>
      </c>
      <c r="E230" s="347" t="e">
        <f t="shared" si="26"/>
        <v>#VALUE!</v>
      </c>
      <c r="F230" s="348" t="e">
        <f t="shared" si="27"/>
        <v>#VALUE!</v>
      </c>
      <c r="G230" s="346">
        <f t="shared" si="28"/>
      </c>
      <c r="H230" s="346">
        <f t="shared" si="31"/>
      </c>
      <c r="I230" s="348" t="e">
        <f t="shared" si="29"/>
        <v>#VALUE!</v>
      </c>
      <c r="J230" s="348">
        <f>SUM($H$18:$H230)</f>
        <v>0</v>
      </c>
    </row>
    <row r="231" spans="1:10" ht="15" customHeight="1">
      <c r="A231" s="349"/>
      <c r="B231" s="346">
        <f t="shared" si="24"/>
      </c>
      <c r="C231" s="346">
        <f t="shared" si="30"/>
      </c>
      <c r="D231" s="346">
        <f t="shared" si="25"/>
      </c>
      <c r="E231" s="347" t="e">
        <f t="shared" si="26"/>
        <v>#VALUE!</v>
      </c>
      <c r="F231" s="348" t="e">
        <f t="shared" si="27"/>
        <v>#VALUE!</v>
      </c>
      <c r="G231" s="346">
        <f t="shared" si="28"/>
      </c>
      <c r="H231" s="346">
        <f t="shared" si="31"/>
      </c>
      <c r="I231" s="348" t="e">
        <f t="shared" si="29"/>
        <v>#VALUE!</v>
      </c>
      <c r="J231" s="348">
        <f>SUM($H$18:$H231)</f>
        <v>0</v>
      </c>
    </row>
    <row r="232" spans="1:10" ht="15" customHeight="1">
      <c r="A232" s="349"/>
      <c r="B232" s="346">
        <f t="shared" si="24"/>
      </c>
      <c r="C232" s="346">
        <f t="shared" si="30"/>
      </c>
      <c r="D232" s="346">
        <f t="shared" si="25"/>
      </c>
      <c r="E232" s="347" t="e">
        <f t="shared" si="26"/>
        <v>#VALUE!</v>
      </c>
      <c r="F232" s="348" t="e">
        <f t="shared" si="27"/>
        <v>#VALUE!</v>
      </c>
      <c r="G232" s="346">
        <f t="shared" si="28"/>
      </c>
      <c r="H232" s="346">
        <f t="shared" si="31"/>
      </c>
      <c r="I232" s="348" t="e">
        <f t="shared" si="29"/>
        <v>#VALUE!</v>
      </c>
      <c r="J232" s="348">
        <f>SUM($H$18:$H232)</f>
        <v>0</v>
      </c>
    </row>
    <row r="233" spans="1:10" ht="15" customHeight="1">
      <c r="A233" s="349"/>
      <c r="B233" s="346">
        <f t="shared" si="24"/>
      </c>
      <c r="C233" s="346">
        <f t="shared" si="30"/>
      </c>
      <c r="D233" s="346">
        <f t="shared" si="25"/>
      </c>
      <c r="E233" s="347" t="e">
        <f t="shared" si="26"/>
        <v>#VALUE!</v>
      </c>
      <c r="F233" s="348" t="e">
        <f t="shared" si="27"/>
        <v>#VALUE!</v>
      </c>
      <c r="G233" s="346">
        <f t="shared" si="28"/>
      </c>
      <c r="H233" s="346">
        <f t="shared" si="31"/>
      </c>
      <c r="I233" s="348" t="e">
        <f t="shared" si="29"/>
        <v>#VALUE!</v>
      </c>
      <c r="J233" s="348">
        <f>SUM($H$18:$H233)</f>
        <v>0</v>
      </c>
    </row>
    <row r="234" spans="1:10" ht="15" customHeight="1">
      <c r="A234" s="349"/>
      <c r="B234" s="346">
        <f t="shared" si="24"/>
      </c>
      <c r="C234" s="346">
        <f t="shared" si="30"/>
      </c>
      <c r="D234" s="346">
        <f t="shared" si="25"/>
      </c>
      <c r="E234" s="347" t="e">
        <f t="shared" si="26"/>
        <v>#VALUE!</v>
      </c>
      <c r="F234" s="348" t="e">
        <f t="shared" si="27"/>
        <v>#VALUE!</v>
      </c>
      <c r="G234" s="346">
        <f t="shared" si="28"/>
      </c>
      <c r="H234" s="346">
        <f t="shared" si="31"/>
      </c>
      <c r="I234" s="348" t="e">
        <f t="shared" si="29"/>
        <v>#VALUE!</v>
      </c>
      <c r="J234" s="348">
        <f>SUM($H$18:$H234)</f>
        <v>0</v>
      </c>
    </row>
    <row r="235" spans="1:10" ht="15" customHeight="1">
      <c r="A235" s="349"/>
      <c r="B235" s="346">
        <f t="shared" si="24"/>
      </c>
      <c r="C235" s="346">
        <f t="shared" si="30"/>
      </c>
      <c r="D235" s="346">
        <f t="shared" si="25"/>
      </c>
      <c r="E235" s="347" t="e">
        <f t="shared" si="26"/>
        <v>#VALUE!</v>
      </c>
      <c r="F235" s="348" t="e">
        <f t="shared" si="27"/>
        <v>#VALUE!</v>
      </c>
      <c r="G235" s="346">
        <f t="shared" si="28"/>
      </c>
      <c r="H235" s="346">
        <f t="shared" si="31"/>
      </c>
      <c r="I235" s="348" t="e">
        <f t="shared" si="29"/>
        <v>#VALUE!</v>
      </c>
      <c r="J235" s="348">
        <f>SUM($H$18:$H235)</f>
        <v>0</v>
      </c>
    </row>
    <row r="236" spans="1:10" ht="15" customHeight="1">
      <c r="A236" s="349"/>
      <c r="B236" s="346">
        <f t="shared" si="24"/>
      </c>
      <c r="C236" s="346">
        <f t="shared" si="30"/>
      </c>
      <c r="D236" s="346">
        <f t="shared" si="25"/>
      </c>
      <c r="E236" s="347" t="e">
        <f t="shared" si="26"/>
        <v>#VALUE!</v>
      </c>
      <c r="F236" s="348" t="e">
        <f t="shared" si="27"/>
        <v>#VALUE!</v>
      </c>
      <c r="G236" s="346">
        <f t="shared" si="28"/>
      </c>
      <c r="H236" s="346">
        <f t="shared" si="31"/>
      </c>
      <c r="I236" s="348" t="e">
        <f t="shared" si="29"/>
        <v>#VALUE!</v>
      </c>
      <c r="J236" s="348">
        <f>SUM($H$18:$H236)</f>
        <v>0</v>
      </c>
    </row>
    <row r="237" spans="1:10" ht="15" customHeight="1">
      <c r="A237" s="349"/>
      <c r="B237" s="346">
        <f t="shared" si="24"/>
      </c>
      <c r="C237" s="346">
        <f t="shared" si="30"/>
      </c>
      <c r="D237" s="346">
        <f t="shared" si="25"/>
      </c>
      <c r="E237" s="347" t="e">
        <f t="shared" si="26"/>
        <v>#VALUE!</v>
      </c>
      <c r="F237" s="348" t="e">
        <f t="shared" si="27"/>
        <v>#VALUE!</v>
      </c>
      <c r="G237" s="346">
        <f t="shared" si="28"/>
      </c>
      <c r="H237" s="346">
        <f t="shared" si="31"/>
      </c>
      <c r="I237" s="348" t="e">
        <f t="shared" si="29"/>
        <v>#VALUE!</v>
      </c>
      <c r="J237" s="348">
        <f>SUM($H$18:$H237)</f>
        <v>0</v>
      </c>
    </row>
    <row r="238" spans="1:10" ht="15" customHeight="1">
      <c r="A238" s="349"/>
      <c r="B238" s="346">
        <f t="shared" si="24"/>
      </c>
      <c r="C238" s="346">
        <f t="shared" si="30"/>
      </c>
      <c r="D238" s="346">
        <f t="shared" si="25"/>
      </c>
      <c r="E238" s="347" t="e">
        <f t="shared" si="26"/>
        <v>#VALUE!</v>
      </c>
      <c r="F238" s="348" t="e">
        <f t="shared" si="27"/>
        <v>#VALUE!</v>
      </c>
      <c r="G238" s="346">
        <f t="shared" si="28"/>
      </c>
      <c r="H238" s="346">
        <f t="shared" si="31"/>
      </c>
      <c r="I238" s="348" t="e">
        <f t="shared" si="29"/>
        <v>#VALUE!</v>
      </c>
      <c r="J238" s="348">
        <f>SUM($H$18:$H238)</f>
        <v>0</v>
      </c>
    </row>
    <row r="239" spans="1:10" ht="15" customHeight="1">
      <c r="A239" s="349"/>
      <c r="B239" s="346">
        <f t="shared" si="24"/>
      </c>
      <c r="C239" s="346">
        <f t="shared" si="30"/>
      </c>
      <c r="D239" s="346">
        <f t="shared" si="25"/>
      </c>
      <c r="E239" s="347" t="e">
        <f t="shared" si="26"/>
        <v>#VALUE!</v>
      </c>
      <c r="F239" s="348" t="e">
        <f t="shared" si="27"/>
        <v>#VALUE!</v>
      </c>
      <c r="G239" s="346">
        <f t="shared" si="28"/>
      </c>
      <c r="H239" s="346">
        <f t="shared" si="31"/>
      </c>
      <c r="I239" s="348" t="e">
        <f t="shared" si="29"/>
        <v>#VALUE!</v>
      </c>
      <c r="J239" s="348">
        <f>SUM($H$18:$H239)</f>
        <v>0</v>
      </c>
    </row>
    <row r="240" spans="1:10" ht="15" customHeight="1">
      <c r="A240" s="349"/>
      <c r="B240" s="346">
        <f t="shared" si="24"/>
      </c>
      <c r="C240" s="346">
        <f t="shared" si="30"/>
      </c>
      <c r="D240" s="346">
        <f t="shared" si="25"/>
      </c>
      <c r="E240" s="347" t="e">
        <f t="shared" si="26"/>
        <v>#VALUE!</v>
      </c>
      <c r="F240" s="348" t="e">
        <f t="shared" si="27"/>
        <v>#VALUE!</v>
      </c>
      <c r="G240" s="346">
        <f t="shared" si="28"/>
      </c>
      <c r="H240" s="346">
        <f t="shared" si="31"/>
      </c>
      <c r="I240" s="348" t="e">
        <f t="shared" si="29"/>
        <v>#VALUE!</v>
      </c>
      <c r="J240" s="348">
        <f>SUM($H$18:$H240)</f>
        <v>0</v>
      </c>
    </row>
    <row r="241" spans="1:10" ht="15" customHeight="1">
      <c r="A241" s="349"/>
      <c r="B241" s="346">
        <f t="shared" si="24"/>
      </c>
      <c r="C241" s="346">
        <f t="shared" si="30"/>
      </c>
      <c r="D241" s="346">
        <f t="shared" si="25"/>
      </c>
      <c r="E241" s="347" t="e">
        <f t="shared" si="26"/>
        <v>#VALUE!</v>
      </c>
      <c r="F241" s="348" t="e">
        <f t="shared" si="27"/>
        <v>#VALUE!</v>
      </c>
      <c r="G241" s="346">
        <f t="shared" si="28"/>
      </c>
      <c r="H241" s="346">
        <f t="shared" si="31"/>
      </c>
      <c r="I241" s="348" t="e">
        <f t="shared" si="29"/>
        <v>#VALUE!</v>
      </c>
      <c r="J241" s="348">
        <f>SUM($H$18:$H241)</f>
        <v>0</v>
      </c>
    </row>
    <row r="242" spans="1:10" ht="15" customHeight="1">
      <c r="A242" s="349"/>
      <c r="B242" s="346">
        <f t="shared" si="24"/>
      </c>
      <c r="C242" s="346">
        <f t="shared" si="30"/>
      </c>
      <c r="D242" s="346">
        <f t="shared" si="25"/>
      </c>
      <c r="E242" s="347" t="e">
        <f t="shared" si="26"/>
        <v>#VALUE!</v>
      </c>
      <c r="F242" s="348" t="e">
        <f t="shared" si="27"/>
        <v>#VALUE!</v>
      </c>
      <c r="G242" s="346">
        <f t="shared" si="28"/>
      </c>
      <c r="H242" s="346">
        <f t="shared" si="31"/>
      </c>
      <c r="I242" s="348" t="e">
        <f t="shared" si="29"/>
        <v>#VALUE!</v>
      </c>
      <c r="J242" s="348">
        <f>SUM($H$18:$H242)</f>
        <v>0</v>
      </c>
    </row>
    <row r="243" spans="1:10" ht="15" customHeight="1">
      <c r="A243" s="349"/>
      <c r="B243" s="346">
        <f t="shared" si="24"/>
      </c>
      <c r="C243" s="346">
        <f t="shared" si="30"/>
      </c>
      <c r="D243" s="346">
        <f t="shared" si="25"/>
      </c>
      <c r="E243" s="347" t="e">
        <f t="shared" si="26"/>
        <v>#VALUE!</v>
      </c>
      <c r="F243" s="348" t="e">
        <f t="shared" si="27"/>
        <v>#VALUE!</v>
      </c>
      <c r="G243" s="346">
        <f t="shared" si="28"/>
      </c>
      <c r="H243" s="346">
        <f t="shared" si="31"/>
      </c>
      <c r="I243" s="348" t="e">
        <f t="shared" si="29"/>
        <v>#VALUE!</v>
      </c>
      <c r="J243" s="348">
        <f>SUM($H$18:$H243)</f>
        <v>0</v>
      </c>
    </row>
    <row r="244" spans="1:10" ht="15" customHeight="1">
      <c r="A244" s="349"/>
      <c r="B244" s="346">
        <f t="shared" si="24"/>
      </c>
      <c r="C244" s="346">
        <f t="shared" si="30"/>
      </c>
      <c r="D244" s="346">
        <f t="shared" si="25"/>
      </c>
      <c r="E244" s="347" t="e">
        <f t="shared" si="26"/>
        <v>#VALUE!</v>
      </c>
      <c r="F244" s="348" t="e">
        <f t="shared" si="27"/>
        <v>#VALUE!</v>
      </c>
      <c r="G244" s="346">
        <f t="shared" si="28"/>
      </c>
      <c r="H244" s="346">
        <f t="shared" si="31"/>
      </c>
      <c r="I244" s="348" t="e">
        <f t="shared" si="29"/>
        <v>#VALUE!</v>
      </c>
      <c r="J244" s="348">
        <f>SUM($H$18:$H244)</f>
        <v>0</v>
      </c>
    </row>
    <row r="245" spans="1:10" ht="15" customHeight="1">
      <c r="A245" s="349"/>
      <c r="B245" s="346">
        <f t="shared" si="24"/>
      </c>
      <c r="C245" s="346">
        <f t="shared" si="30"/>
      </c>
      <c r="D245" s="346">
        <f t="shared" si="25"/>
      </c>
      <c r="E245" s="347" t="e">
        <f t="shared" si="26"/>
        <v>#VALUE!</v>
      </c>
      <c r="F245" s="348" t="e">
        <f t="shared" si="27"/>
        <v>#VALUE!</v>
      </c>
      <c r="G245" s="346">
        <f t="shared" si="28"/>
      </c>
      <c r="H245" s="346">
        <f t="shared" si="31"/>
      </c>
      <c r="I245" s="348" t="e">
        <f t="shared" si="29"/>
        <v>#VALUE!</v>
      </c>
      <c r="J245" s="348">
        <f>SUM($H$18:$H245)</f>
        <v>0</v>
      </c>
    </row>
    <row r="246" spans="1:10" ht="15" customHeight="1">
      <c r="A246" s="349"/>
      <c r="B246" s="346">
        <f t="shared" si="24"/>
      </c>
      <c r="C246" s="346">
        <f t="shared" si="30"/>
      </c>
      <c r="D246" s="346">
        <f t="shared" si="25"/>
      </c>
      <c r="E246" s="347" t="e">
        <f t="shared" si="26"/>
        <v>#VALUE!</v>
      </c>
      <c r="F246" s="348" t="e">
        <f t="shared" si="27"/>
        <v>#VALUE!</v>
      </c>
      <c r="G246" s="346">
        <f t="shared" si="28"/>
      </c>
      <c r="H246" s="346">
        <f t="shared" si="31"/>
      </c>
      <c r="I246" s="348" t="e">
        <f t="shared" si="29"/>
        <v>#VALUE!</v>
      </c>
      <c r="J246" s="348">
        <f>SUM($H$18:$H246)</f>
        <v>0</v>
      </c>
    </row>
    <row r="247" spans="1:10" ht="15" customHeight="1">
      <c r="A247" s="349"/>
      <c r="B247" s="346">
        <f t="shared" si="24"/>
      </c>
      <c r="C247" s="346">
        <f t="shared" si="30"/>
      </c>
      <c r="D247" s="346">
        <f t="shared" si="25"/>
      </c>
      <c r="E247" s="347" t="e">
        <f t="shared" si="26"/>
        <v>#VALUE!</v>
      </c>
      <c r="F247" s="348" t="e">
        <f t="shared" si="27"/>
        <v>#VALUE!</v>
      </c>
      <c r="G247" s="346">
        <f t="shared" si="28"/>
      </c>
      <c r="H247" s="346">
        <f t="shared" si="31"/>
      </c>
      <c r="I247" s="348" t="e">
        <f t="shared" si="29"/>
        <v>#VALUE!</v>
      </c>
      <c r="J247" s="348">
        <f>SUM($H$18:$H247)</f>
        <v>0</v>
      </c>
    </row>
    <row r="248" spans="1:10" ht="15" customHeight="1">
      <c r="A248" s="349"/>
      <c r="B248" s="346">
        <f t="shared" si="24"/>
      </c>
      <c r="C248" s="346">
        <f t="shared" si="30"/>
      </c>
      <c r="D248" s="346">
        <f t="shared" si="25"/>
      </c>
      <c r="E248" s="347" t="e">
        <f t="shared" si="26"/>
        <v>#VALUE!</v>
      </c>
      <c r="F248" s="348" t="e">
        <f t="shared" si="27"/>
        <v>#VALUE!</v>
      </c>
      <c r="G248" s="346">
        <f t="shared" si="28"/>
      </c>
      <c r="H248" s="346">
        <f t="shared" si="31"/>
      </c>
      <c r="I248" s="348" t="e">
        <f t="shared" si="29"/>
        <v>#VALUE!</v>
      </c>
      <c r="J248" s="348">
        <f>SUM($H$18:$H248)</f>
        <v>0</v>
      </c>
    </row>
    <row r="249" spans="1:10" ht="15" customHeight="1">
      <c r="A249" s="349"/>
      <c r="B249" s="346">
        <f t="shared" si="24"/>
      </c>
      <c r="C249" s="346">
        <f t="shared" si="30"/>
      </c>
      <c r="D249" s="346">
        <f t="shared" si="25"/>
      </c>
      <c r="E249" s="347" t="e">
        <f t="shared" si="26"/>
        <v>#VALUE!</v>
      </c>
      <c r="F249" s="348" t="e">
        <f t="shared" si="27"/>
        <v>#VALUE!</v>
      </c>
      <c r="G249" s="346">
        <f t="shared" si="28"/>
      </c>
      <c r="H249" s="346">
        <f t="shared" si="31"/>
      </c>
      <c r="I249" s="348" t="e">
        <f t="shared" si="29"/>
        <v>#VALUE!</v>
      </c>
      <c r="J249" s="348">
        <f>SUM($H$18:$H249)</f>
        <v>0</v>
      </c>
    </row>
    <row r="250" spans="1:10" ht="15" customHeight="1">
      <c r="A250" s="349"/>
      <c r="B250" s="346">
        <f t="shared" si="24"/>
      </c>
      <c r="C250" s="346">
        <f t="shared" si="30"/>
      </c>
      <c r="D250" s="346">
        <f t="shared" si="25"/>
      </c>
      <c r="E250" s="347" t="e">
        <f t="shared" si="26"/>
        <v>#VALUE!</v>
      </c>
      <c r="F250" s="348" t="e">
        <f t="shared" si="27"/>
        <v>#VALUE!</v>
      </c>
      <c r="G250" s="346">
        <f t="shared" si="28"/>
      </c>
      <c r="H250" s="346">
        <f t="shared" si="31"/>
      </c>
      <c r="I250" s="348" t="e">
        <f t="shared" si="29"/>
        <v>#VALUE!</v>
      </c>
      <c r="J250" s="348">
        <f>SUM($H$18:$H250)</f>
        <v>0</v>
      </c>
    </row>
    <row r="251" spans="1:10" ht="15" customHeight="1">
      <c r="A251" s="349"/>
      <c r="B251" s="346">
        <f t="shared" si="24"/>
      </c>
      <c r="C251" s="346">
        <f t="shared" si="30"/>
      </c>
      <c r="D251" s="346">
        <f t="shared" si="25"/>
      </c>
      <c r="E251" s="347" t="e">
        <f t="shared" si="26"/>
        <v>#VALUE!</v>
      </c>
      <c r="F251" s="348" t="e">
        <f t="shared" si="27"/>
        <v>#VALUE!</v>
      </c>
      <c r="G251" s="346">
        <f t="shared" si="28"/>
      </c>
      <c r="H251" s="346">
        <f t="shared" si="31"/>
      </c>
      <c r="I251" s="348" t="e">
        <f t="shared" si="29"/>
        <v>#VALUE!</v>
      </c>
      <c r="J251" s="348">
        <f>SUM($H$18:$H251)</f>
        <v>0</v>
      </c>
    </row>
    <row r="252" spans="1:10" ht="15" customHeight="1">
      <c r="A252" s="349"/>
      <c r="B252" s="346">
        <f t="shared" si="24"/>
      </c>
      <c r="C252" s="346">
        <f t="shared" si="30"/>
      </c>
      <c r="D252" s="346">
        <f t="shared" si="25"/>
      </c>
      <c r="E252" s="347" t="e">
        <f t="shared" si="26"/>
        <v>#VALUE!</v>
      </c>
      <c r="F252" s="348" t="e">
        <f t="shared" si="27"/>
        <v>#VALUE!</v>
      </c>
      <c r="G252" s="346">
        <f t="shared" si="28"/>
      </c>
      <c r="H252" s="346">
        <f t="shared" si="31"/>
      </c>
      <c r="I252" s="348" t="e">
        <f t="shared" si="29"/>
        <v>#VALUE!</v>
      </c>
      <c r="J252" s="348">
        <f>SUM($H$18:$H252)</f>
        <v>0</v>
      </c>
    </row>
    <row r="253" spans="1:10" ht="15" customHeight="1">
      <c r="A253" s="349"/>
      <c r="B253" s="346">
        <f t="shared" si="24"/>
      </c>
      <c r="C253" s="346">
        <f t="shared" si="30"/>
      </c>
      <c r="D253" s="346">
        <f t="shared" si="25"/>
      </c>
      <c r="E253" s="347" t="e">
        <f t="shared" si="26"/>
        <v>#VALUE!</v>
      </c>
      <c r="F253" s="348" t="e">
        <f t="shared" si="27"/>
        <v>#VALUE!</v>
      </c>
      <c r="G253" s="346">
        <f t="shared" si="28"/>
      </c>
      <c r="H253" s="346">
        <f t="shared" si="31"/>
      </c>
      <c r="I253" s="348" t="e">
        <f t="shared" si="29"/>
        <v>#VALUE!</v>
      </c>
      <c r="J253" s="348">
        <f>SUM($H$18:$H253)</f>
        <v>0</v>
      </c>
    </row>
    <row r="254" spans="1:10" ht="15" customHeight="1">
      <c r="A254" s="349"/>
      <c r="B254" s="346">
        <f t="shared" si="24"/>
      </c>
      <c r="C254" s="346">
        <f t="shared" si="30"/>
      </c>
      <c r="D254" s="346">
        <f t="shared" si="25"/>
      </c>
      <c r="E254" s="347" t="e">
        <f t="shared" si="26"/>
        <v>#VALUE!</v>
      </c>
      <c r="F254" s="348" t="e">
        <f t="shared" si="27"/>
        <v>#VALUE!</v>
      </c>
      <c r="G254" s="346">
        <f t="shared" si="28"/>
      </c>
      <c r="H254" s="346">
        <f t="shared" si="31"/>
      </c>
      <c r="I254" s="348" t="e">
        <f t="shared" si="29"/>
        <v>#VALUE!</v>
      </c>
      <c r="J254" s="348">
        <f>SUM($H$18:$H254)</f>
        <v>0</v>
      </c>
    </row>
    <row r="255" spans="1:10" ht="15" customHeight="1">
      <c r="A255" s="349"/>
      <c r="B255" s="346">
        <f t="shared" si="24"/>
      </c>
      <c r="C255" s="346">
        <f t="shared" si="30"/>
      </c>
      <c r="D255" s="346">
        <f t="shared" si="25"/>
      </c>
      <c r="E255" s="347" t="e">
        <f t="shared" si="26"/>
        <v>#VALUE!</v>
      </c>
      <c r="F255" s="348" t="e">
        <f t="shared" si="27"/>
        <v>#VALUE!</v>
      </c>
      <c r="G255" s="346">
        <f t="shared" si="28"/>
      </c>
      <c r="H255" s="346">
        <f t="shared" si="31"/>
      </c>
      <c r="I255" s="348" t="e">
        <f t="shared" si="29"/>
        <v>#VALUE!</v>
      </c>
      <c r="J255" s="348">
        <f>SUM($H$18:$H255)</f>
        <v>0</v>
      </c>
    </row>
    <row r="256" spans="1:10" ht="15" customHeight="1">
      <c r="A256" s="349"/>
      <c r="B256" s="346">
        <f t="shared" si="24"/>
      </c>
      <c r="C256" s="346">
        <f t="shared" si="30"/>
      </c>
      <c r="D256" s="346">
        <f t="shared" si="25"/>
      </c>
      <c r="E256" s="347" t="e">
        <f t="shared" si="26"/>
        <v>#VALUE!</v>
      </c>
      <c r="F256" s="348" t="e">
        <f t="shared" si="27"/>
        <v>#VALUE!</v>
      </c>
      <c r="G256" s="346">
        <f t="shared" si="28"/>
      </c>
      <c r="H256" s="346">
        <f t="shared" si="31"/>
      </c>
      <c r="I256" s="348" t="e">
        <f t="shared" si="29"/>
        <v>#VALUE!</v>
      </c>
      <c r="J256" s="348">
        <f>SUM($H$18:$H256)</f>
        <v>0</v>
      </c>
    </row>
    <row r="257" spans="1:10" ht="15" customHeight="1">
      <c r="A257" s="349"/>
      <c r="B257" s="346">
        <f t="shared" si="24"/>
      </c>
      <c r="C257" s="346">
        <f t="shared" si="30"/>
      </c>
      <c r="D257" s="346">
        <f t="shared" si="25"/>
      </c>
      <c r="E257" s="347" t="e">
        <f t="shared" si="26"/>
        <v>#VALUE!</v>
      </c>
      <c r="F257" s="348" t="e">
        <f t="shared" si="27"/>
        <v>#VALUE!</v>
      </c>
      <c r="G257" s="346">
        <f t="shared" si="28"/>
      </c>
      <c r="H257" s="346">
        <f t="shared" si="31"/>
      </c>
      <c r="I257" s="348" t="e">
        <f t="shared" si="29"/>
        <v>#VALUE!</v>
      </c>
      <c r="J257" s="348">
        <f>SUM($H$18:$H257)</f>
        <v>0</v>
      </c>
    </row>
    <row r="258" spans="1:10" ht="15" customHeight="1">
      <c r="A258" s="349"/>
      <c r="B258" s="346">
        <f t="shared" si="24"/>
      </c>
      <c r="C258" s="346">
        <f t="shared" si="30"/>
      </c>
      <c r="D258" s="346">
        <f t="shared" si="25"/>
      </c>
      <c r="E258" s="347" t="e">
        <f t="shared" si="26"/>
        <v>#VALUE!</v>
      </c>
      <c r="F258" s="348" t="e">
        <f t="shared" si="27"/>
        <v>#VALUE!</v>
      </c>
      <c r="G258" s="346">
        <f t="shared" si="28"/>
      </c>
      <c r="H258" s="346">
        <f t="shared" si="31"/>
      </c>
      <c r="I258" s="348" t="e">
        <f t="shared" si="29"/>
        <v>#VALUE!</v>
      </c>
      <c r="J258" s="348">
        <f>SUM($H$18:$H258)</f>
        <v>0</v>
      </c>
    </row>
    <row r="259" spans="1:10" ht="15" customHeight="1">
      <c r="A259" s="349"/>
      <c r="B259" s="346">
        <f t="shared" si="24"/>
      </c>
      <c r="C259" s="346">
        <f t="shared" si="30"/>
      </c>
      <c r="D259" s="346">
        <f t="shared" si="25"/>
      </c>
      <c r="E259" s="347" t="e">
        <f t="shared" si="26"/>
        <v>#VALUE!</v>
      </c>
      <c r="F259" s="348" t="e">
        <f t="shared" si="27"/>
        <v>#VALUE!</v>
      </c>
      <c r="G259" s="346">
        <f t="shared" si="28"/>
      </c>
      <c r="H259" s="346">
        <f t="shared" si="31"/>
      </c>
      <c r="I259" s="348" t="e">
        <f t="shared" si="29"/>
        <v>#VALUE!</v>
      </c>
      <c r="J259" s="348">
        <f>SUM($H$18:$H259)</f>
        <v>0</v>
      </c>
    </row>
    <row r="260" spans="1:10" ht="15" customHeight="1">
      <c r="A260" s="349"/>
      <c r="B260" s="346">
        <f t="shared" si="24"/>
      </c>
      <c r="C260" s="346">
        <f t="shared" si="30"/>
      </c>
      <c r="D260" s="346">
        <f t="shared" si="25"/>
      </c>
      <c r="E260" s="347" t="e">
        <f t="shared" si="26"/>
        <v>#VALUE!</v>
      </c>
      <c r="F260" s="348" t="e">
        <f t="shared" si="27"/>
        <v>#VALUE!</v>
      </c>
      <c r="G260" s="346">
        <f t="shared" si="28"/>
      </c>
      <c r="H260" s="346">
        <f t="shared" si="31"/>
      </c>
      <c r="I260" s="348" t="e">
        <f t="shared" si="29"/>
        <v>#VALUE!</v>
      </c>
      <c r="J260" s="348">
        <f>SUM($H$18:$H260)</f>
        <v>0</v>
      </c>
    </row>
    <row r="261" spans="1:10" ht="15" customHeight="1">
      <c r="A261" s="349"/>
      <c r="B261" s="346">
        <f t="shared" si="24"/>
      </c>
      <c r="C261" s="346">
        <f t="shared" si="30"/>
      </c>
      <c r="D261" s="346">
        <f t="shared" si="25"/>
      </c>
      <c r="E261" s="347" t="e">
        <f t="shared" si="26"/>
        <v>#VALUE!</v>
      </c>
      <c r="F261" s="348" t="e">
        <f t="shared" si="27"/>
        <v>#VALUE!</v>
      </c>
      <c r="G261" s="346">
        <f t="shared" si="28"/>
      </c>
      <c r="H261" s="346">
        <f t="shared" si="31"/>
      </c>
      <c r="I261" s="348" t="e">
        <f t="shared" si="29"/>
        <v>#VALUE!</v>
      </c>
      <c r="J261" s="348">
        <f>SUM($H$18:$H261)</f>
        <v>0</v>
      </c>
    </row>
    <row r="262" spans="1:10" ht="15" customHeight="1">
      <c r="A262" s="349"/>
      <c r="B262" s="346">
        <f t="shared" si="24"/>
      </c>
      <c r="C262" s="346">
        <f t="shared" si="30"/>
      </c>
      <c r="D262" s="346">
        <f t="shared" si="25"/>
      </c>
      <c r="E262" s="347" t="e">
        <f t="shared" si="26"/>
        <v>#VALUE!</v>
      </c>
      <c r="F262" s="348" t="e">
        <f t="shared" si="27"/>
        <v>#VALUE!</v>
      </c>
      <c r="G262" s="346">
        <f t="shared" si="28"/>
      </c>
      <c r="H262" s="346">
        <f t="shared" si="31"/>
      </c>
      <c r="I262" s="348" t="e">
        <f t="shared" si="29"/>
        <v>#VALUE!</v>
      </c>
      <c r="J262" s="348">
        <f>SUM($H$18:$H262)</f>
        <v>0</v>
      </c>
    </row>
    <row r="263" spans="1:10" ht="15" customHeight="1">
      <c r="A263" s="349"/>
      <c r="B263" s="346">
        <f t="shared" si="24"/>
      </c>
      <c r="C263" s="346">
        <f t="shared" si="30"/>
      </c>
      <c r="D263" s="346">
        <f t="shared" si="25"/>
      </c>
      <c r="E263" s="347" t="e">
        <f t="shared" si="26"/>
        <v>#VALUE!</v>
      </c>
      <c r="F263" s="348" t="e">
        <f t="shared" si="27"/>
        <v>#VALUE!</v>
      </c>
      <c r="G263" s="346">
        <f t="shared" si="28"/>
      </c>
      <c r="H263" s="346">
        <f t="shared" si="31"/>
      </c>
      <c r="I263" s="348" t="e">
        <f t="shared" si="29"/>
        <v>#VALUE!</v>
      </c>
      <c r="J263" s="348">
        <f>SUM($H$18:$H263)</f>
        <v>0</v>
      </c>
    </row>
    <row r="264" spans="1:10" ht="15" customHeight="1">
      <c r="A264" s="349"/>
      <c r="B264" s="346">
        <f t="shared" si="24"/>
      </c>
      <c r="C264" s="346">
        <f t="shared" si="30"/>
      </c>
      <c r="D264" s="346">
        <f t="shared" si="25"/>
      </c>
      <c r="E264" s="347" t="e">
        <f t="shared" si="26"/>
        <v>#VALUE!</v>
      </c>
      <c r="F264" s="348" t="e">
        <f t="shared" si="27"/>
        <v>#VALUE!</v>
      </c>
      <c r="G264" s="346">
        <f t="shared" si="28"/>
      </c>
      <c r="H264" s="346">
        <f t="shared" si="31"/>
      </c>
      <c r="I264" s="348" t="e">
        <f t="shared" si="29"/>
        <v>#VALUE!</v>
      </c>
      <c r="J264" s="348">
        <f>SUM($H$18:$H264)</f>
        <v>0</v>
      </c>
    </row>
    <row r="265" spans="1:10" ht="15" customHeight="1">
      <c r="A265" s="349"/>
      <c r="B265" s="346">
        <f t="shared" si="24"/>
      </c>
      <c r="C265" s="346">
        <f t="shared" si="30"/>
      </c>
      <c r="D265" s="346">
        <f t="shared" si="25"/>
      </c>
      <c r="E265" s="347" t="e">
        <f t="shared" si="26"/>
        <v>#VALUE!</v>
      </c>
      <c r="F265" s="348" t="e">
        <f t="shared" si="27"/>
        <v>#VALUE!</v>
      </c>
      <c r="G265" s="346">
        <f t="shared" si="28"/>
      </c>
      <c r="H265" s="346">
        <f t="shared" si="31"/>
      </c>
      <c r="I265" s="348" t="e">
        <f t="shared" si="29"/>
        <v>#VALUE!</v>
      </c>
      <c r="J265" s="348">
        <f>SUM($H$18:$H265)</f>
        <v>0</v>
      </c>
    </row>
    <row r="266" spans="1:10" ht="15" customHeight="1">
      <c r="A266" s="349"/>
      <c r="B266" s="346">
        <f t="shared" si="24"/>
      </c>
      <c r="C266" s="346">
        <f t="shared" si="30"/>
      </c>
      <c r="D266" s="346">
        <f t="shared" si="25"/>
      </c>
      <c r="E266" s="347" t="e">
        <f t="shared" si="26"/>
        <v>#VALUE!</v>
      </c>
      <c r="F266" s="348" t="e">
        <f t="shared" si="27"/>
        <v>#VALUE!</v>
      </c>
      <c r="G266" s="346">
        <f t="shared" si="28"/>
      </c>
      <c r="H266" s="346">
        <f t="shared" si="31"/>
      </c>
      <c r="I266" s="348" t="e">
        <f t="shared" si="29"/>
        <v>#VALUE!</v>
      </c>
      <c r="J266" s="348">
        <f>SUM($H$18:$H266)</f>
        <v>0</v>
      </c>
    </row>
    <row r="267" spans="1:10" ht="15" customHeight="1">
      <c r="A267" s="349"/>
      <c r="B267" s="346">
        <f t="shared" si="24"/>
      </c>
      <c r="C267" s="346">
        <f t="shared" si="30"/>
      </c>
      <c r="D267" s="346">
        <f t="shared" si="25"/>
      </c>
      <c r="E267" s="347" t="e">
        <f t="shared" si="26"/>
        <v>#VALUE!</v>
      </c>
      <c r="F267" s="348" t="e">
        <f t="shared" si="27"/>
        <v>#VALUE!</v>
      </c>
      <c r="G267" s="346">
        <f t="shared" si="28"/>
      </c>
      <c r="H267" s="346">
        <f t="shared" si="31"/>
      </c>
      <c r="I267" s="348" t="e">
        <f t="shared" si="29"/>
        <v>#VALUE!</v>
      </c>
      <c r="J267" s="348">
        <f>SUM($H$18:$H267)</f>
        <v>0</v>
      </c>
    </row>
    <row r="268" spans="1:10" ht="15" customHeight="1">
      <c r="A268" s="349"/>
      <c r="B268" s="346">
        <f t="shared" si="24"/>
      </c>
      <c r="C268" s="346">
        <f t="shared" si="30"/>
      </c>
      <c r="D268" s="346">
        <f t="shared" si="25"/>
      </c>
      <c r="E268" s="347" t="e">
        <f t="shared" si="26"/>
        <v>#VALUE!</v>
      </c>
      <c r="F268" s="348" t="e">
        <f t="shared" si="27"/>
        <v>#VALUE!</v>
      </c>
      <c r="G268" s="346">
        <f t="shared" si="28"/>
      </c>
      <c r="H268" s="346">
        <f t="shared" si="31"/>
      </c>
      <c r="I268" s="348" t="e">
        <f t="shared" si="29"/>
        <v>#VALUE!</v>
      </c>
      <c r="J268" s="348">
        <f>SUM($H$18:$H268)</f>
        <v>0</v>
      </c>
    </row>
    <row r="269" spans="1:10" ht="15" customHeight="1">
      <c r="A269" s="349"/>
      <c r="B269" s="346">
        <f t="shared" si="24"/>
      </c>
      <c r="C269" s="346">
        <f t="shared" si="30"/>
      </c>
      <c r="D269" s="346">
        <f t="shared" si="25"/>
      </c>
      <c r="E269" s="347" t="e">
        <f t="shared" si="26"/>
        <v>#VALUE!</v>
      </c>
      <c r="F269" s="348" t="e">
        <f t="shared" si="27"/>
        <v>#VALUE!</v>
      </c>
      <c r="G269" s="346">
        <f t="shared" si="28"/>
      </c>
      <c r="H269" s="346">
        <f t="shared" si="31"/>
      </c>
      <c r="I269" s="348" t="e">
        <f t="shared" si="29"/>
        <v>#VALUE!</v>
      </c>
      <c r="J269" s="348">
        <f>SUM($H$18:$H269)</f>
        <v>0</v>
      </c>
    </row>
    <row r="270" spans="1:10" ht="15" customHeight="1">
      <c r="A270" s="349"/>
      <c r="B270" s="346">
        <f t="shared" si="24"/>
      </c>
      <c r="C270" s="346">
        <f t="shared" si="30"/>
      </c>
      <c r="D270" s="346">
        <f t="shared" si="25"/>
      </c>
      <c r="E270" s="347" t="e">
        <f t="shared" si="26"/>
        <v>#VALUE!</v>
      </c>
      <c r="F270" s="348" t="e">
        <f t="shared" si="27"/>
        <v>#VALUE!</v>
      </c>
      <c r="G270" s="346">
        <f t="shared" si="28"/>
      </c>
      <c r="H270" s="346">
        <f t="shared" si="31"/>
      </c>
      <c r="I270" s="348" t="e">
        <f t="shared" si="29"/>
        <v>#VALUE!</v>
      </c>
      <c r="J270" s="348">
        <f>SUM($H$18:$H270)</f>
        <v>0</v>
      </c>
    </row>
    <row r="271" spans="1:10" ht="15" customHeight="1">
      <c r="A271" s="349"/>
      <c r="B271" s="346">
        <f t="shared" si="24"/>
      </c>
      <c r="C271" s="346">
        <f t="shared" si="30"/>
      </c>
      <c r="D271" s="346">
        <f t="shared" si="25"/>
      </c>
      <c r="E271" s="347" t="e">
        <f t="shared" si="26"/>
        <v>#VALUE!</v>
      </c>
      <c r="F271" s="348" t="e">
        <f t="shared" si="27"/>
        <v>#VALUE!</v>
      </c>
      <c r="G271" s="346">
        <f t="shared" si="28"/>
      </c>
      <c r="H271" s="346">
        <f t="shared" si="31"/>
      </c>
      <c r="I271" s="348" t="e">
        <f t="shared" si="29"/>
        <v>#VALUE!</v>
      </c>
      <c r="J271" s="348">
        <f>SUM($H$18:$H271)</f>
        <v>0</v>
      </c>
    </row>
    <row r="272" spans="1:10" ht="15" customHeight="1">
      <c r="A272" s="349"/>
      <c r="B272" s="346">
        <f t="shared" si="24"/>
      </c>
      <c r="C272" s="346">
        <f t="shared" si="30"/>
      </c>
      <c r="D272" s="346">
        <f t="shared" si="25"/>
      </c>
      <c r="E272" s="347" t="e">
        <f t="shared" si="26"/>
        <v>#VALUE!</v>
      </c>
      <c r="F272" s="348" t="e">
        <f t="shared" si="27"/>
        <v>#VALUE!</v>
      </c>
      <c r="G272" s="346">
        <f t="shared" si="28"/>
      </c>
      <c r="H272" s="346">
        <f t="shared" si="31"/>
      </c>
      <c r="I272" s="348" t="e">
        <f t="shared" si="29"/>
        <v>#VALUE!</v>
      </c>
      <c r="J272" s="348">
        <f>SUM($H$18:$H272)</f>
        <v>0</v>
      </c>
    </row>
    <row r="273" spans="1:10" ht="15" customHeight="1">
      <c r="A273" s="349"/>
      <c r="B273" s="346">
        <f t="shared" si="24"/>
      </c>
      <c r="C273" s="346">
        <f t="shared" si="30"/>
      </c>
      <c r="D273" s="346">
        <f t="shared" si="25"/>
      </c>
      <c r="E273" s="347" t="e">
        <f t="shared" si="26"/>
        <v>#VALUE!</v>
      </c>
      <c r="F273" s="348" t="e">
        <f t="shared" si="27"/>
        <v>#VALUE!</v>
      </c>
      <c r="G273" s="346">
        <f t="shared" si="28"/>
      </c>
      <c r="H273" s="346">
        <f t="shared" si="31"/>
      </c>
      <c r="I273" s="348" t="e">
        <f t="shared" si="29"/>
        <v>#VALUE!</v>
      </c>
      <c r="J273" s="348">
        <f>SUM($H$18:$H273)</f>
        <v>0</v>
      </c>
    </row>
    <row r="274" spans="1:10" ht="15" customHeight="1">
      <c r="A274" s="349"/>
      <c r="B274" s="346">
        <f aca="true" t="shared" si="32" ref="B274:B337">IF($A$18:$A$377&lt;&gt;"",DATE(YEAR($D$9),MONTH($D$9)+($A$18:$A$377)*12/$D$8,DAY($D$9)),"")</f>
      </c>
      <c r="C274" s="346">
        <f t="shared" si="30"/>
      </c>
      <c r="D274" s="346">
        <f aca="true" t="shared" si="33" ref="D274:D337">IF($A$18:$A$377&lt;&gt;"",$H$5,"")</f>
      </c>
      <c r="E274" s="347" t="e">
        <f aca="true" t="shared" si="34" ref="E274:E337">IF(AND($A$18:$A$377&lt;&gt;"",$D$18:$D$377+$D$10&lt;$C$18:$C$377),$D$10,IF(AND($A$18:$A$377&lt;&gt;"",$C$18:$C$377-$D$18:$D$377&gt;0),$C$18:$C$377-$D$18:$D$377,IF($A$18:$A$377&lt;&gt;"",0,"")))</f>
        <v>#VALUE!</v>
      </c>
      <c r="F274" s="348" t="e">
        <f aca="true" t="shared" si="35" ref="F274:F337">IF(AND($A$18:$A$377&lt;&gt;"",$D$18:$D$377+$E$18:$E$377&lt;$C$18:$C$377),$D$18:$D$377+$E$18:$E$377,IF($A$18:$A$377&lt;&gt;"",$C$18:$C$377,""))</f>
        <v>#VALUE!</v>
      </c>
      <c r="G274" s="346">
        <f aca="true" t="shared" si="36" ref="G274:G337">IF($A$18:$A$377&lt;&gt;"",$F$18:$F$377-$H$18:$H$377,"")</f>
      </c>
      <c r="H274" s="346">
        <f t="shared" si="31"/>
      </c>
      <c r="I274" s="348" t="e">
        <f aca="true" t="shared" si="37" ref="I274:I337">IF(AND($A$18:$A$377&lt;&gt;"",$D$18:$D$377+$E$18:$E$377&lt;$C$18:$C$377),$C$18:$C$377-$G$18:$G$377,IF($A$18:$A$377&lt;&gt;"",0,""))</f>
        <v>#VALUE!</v>
      </c>
      <c r="J274" s="348">
        <f>SUM($H$18:$H274)</f>
        <v>0</v>
      </c>
    </row>
    <row r="275" spans="1:10" ht="15" customHeight="1">
      <c r="A275" s="345"/>
      <c r="B275" s="346">
        <f t="shared" si="32"/>
      </c>
      <c r="C275" s="346">
        <f aca="true" t="shared" si="38" ref="C275:C338">IF($A$18:$A$377&lt;&gt;"",I274,"")</f>
      </c>
      <c r="D275" s="346">
        <f t="shared" si="33"/>
      </c>
      <c r="E275" s="347" t="e">
        <f t="shared" si="34"/>
        <v>#VALUE!</v>
      </c>
      <c r="F275" s="348" t="e">
        <f t="shared" si="35"/>
        <v>#VALUE!</v>
      </c>
      <c r="G275" s="346">
        <f t="shared" si="36"/>
      </c>
      <c r="H275" s="346">
        <f aca="true" t="shared" si="39" ref="H275:H338">IF($A$18:$A$377&lt;&gt;"",$C$18:$C$377*$D$6/$D$8,"")</f>
      </c>
      <c r="I275" s="348" t="e">
        <f t="shared" si="37"/>
        <v>#VALUE!</v>
      </c>
      <c r="J275" s="348">
        <f>SUM($H$18:$H275)</f>
        <v>0</v>
      </c>
    </row>
    <row r="276" spans="1:10" ht="15" customHeight="1">
      <c r="A276" s="349"/>
      <c r="B276" s="346">
        <f t="shared" si="32"/>
      </c>
      <c r="C276" s="346">
        <f t="shared" si="38"/>
      </c>
      <c r="D276" s="346">
        <f t="shared" si="33"/>
      </c>
      <c r="E276" s="347" t="e">
        <f t="shared" si="34"/>
        <v>#VALUE!</v>
      </c>
      <c r="F276" s="348" t="e">
        <f t="shared" si="35"/>
        <v>#VALUE!</v>
      </c>
      <c r="G276" s="346">
        <f t="shared" si="36"/>
      </c>
      <c r="H276" s="346">
        <f t="shared" si="39"/>
      </c>
      <c r="I276" s="348" t="e">
        <f t="shared" si="37"/>
        <v>#VALUE!</v>
      </c>
      <c r="J276" s="348">
        <f>SUM($H$18:$H276)</f>
        <v>0</v>
      </c>
    </row>
    <row r="277" spans="1:10" ht="15" customHeight="1">
      <c r="A277" s="349"/>
      <c r="B277" s="346">
        <f t="shared" si="32"/>
      </c>
      <c r="C277" s="346">
        <f t="shared" si="38"/>
      </c>
      <c r="D277" s="346">
        <f t="shared" si="33"/>
      </c>
      <c r="E277" s="347" t="e">
        <f t="shared" si="34"/>
        <v>#VALUE!</v>
      </c>
      <c r="F277" s="348" t="e">
        <f t="shared" si="35"/>
        <v>#VALUE!</v>
      </c>
      <c r="G277" s="346">
        <f t="shared" si="36"/>
      </c>
      <c r="H277" s="346">
        <f t="shared" si="39"/>
      </c>
      <c r="I277" s="348" t="e">
        <f t="shared" si="37"/>
        <v>#VALUE!</v>
      </c>
      <c r="J277" s="348">
        <f>SUM($H$18:$H277)</f>
        <v>0</v>
      </c>
    </row>
    <row r="278" spans="1:10" ht="15" customHeight="1">
      <c r="A278" s="349"/>
      <c r="B278" s="346">
        <f t="shared" si="32"/>
      </c>
      <c r="C278" s="346">
        <f t="shared" si="38"/>
      </c>
      <c r="D278" s="346">
        <f t="shared" si="33"/>
      </c>
      <c r="E278" s="347" t="e">
        <f t="shared" si="34"/>
        <v>#VALUE!</v>
      </c>
      <c r="F278" s="348" t="e">
        <f t="shared" si="35"/>
        <v>#VALUE!</v>
      </c>
      <c r="G278" s="346">
        <f t="shared" si="36"/>
      </c>
      <c r="H278" s="346">
        <f t="shared" si="39"/>
      </c>
      <c r="I278" s="348" t="e">
        <f t="shared" si="37"/>
        <v>#VALUE!</v>
      </c>
      <c r="J278" s="348">
        <f>SUM($H$18:$H278)</f>
        <v>0</v>
      </c>
    </row>
    <row r="279" spans="1:10" ht="15" customHeight="1">
      <c r="A279" s="349"/>
      <c r="B279" s="346">
        <f t="shared" si="32"/>
      </c>
      <c r="C279" s="346">
        <f t="shared" si="38"/>
      </c>
      <c r="D279" s="346">
        <f t="shared" si="33"/>
      </c>
      <c r="E279" s="347" t="e">
        <f t="shared" si="34"/>
        <v>#VALUE!</v>
      </c>
      <c r="F279" s="348" t="e">
        <f t="shared" si="35"/>
        <v>#VALUE!</v>
      </c>
      <c r="G279" s="346">
        <f t="shared" si="36"/>
      </c>
      <c r="H279" s="346">
        <f t="shared" si="39"/>
      </c>
      <c r="I279" s="348" t="e">
        <f t="shared" si="37"/>
        <v>#VALUE!</v>
      </c>
      <c r="J279" s="348">
        <f>SUM($H$18:$H279)</f>
        <v>0</v>
      </c>
    </row>
    <row r="280" spans="1:10" ht="15" customHeight="1">
      <c r="A280" s="349"/>
      <c r="B280" s="346">
        <f t="shared" si="32"/>
      </c>
      <c r="C280" s="346">
        <f t="shared" si="38"/>
      </c>
      <c r="D280" s="346">
        <f t="shared" si="33"/>
      </c>
      <c r="E280" s="347" t="e">
        <f t="shared" si="34"/>
        <v>#VALUE!</v>
      </c>
      <c r="F280" s="348" t="e">
        <f t="shared" si="35"/>
        <v>#VALUE!</v>
      </c>
      <c r="G280" s="346">
        <f t="shared" si="36"/>
      </c>
      <c r="H280" s="346">
        <f t="shared" si="39"/>
      </c>
      <c r="I280" s="348" t="e">
        <f t="shared" si="37"/>
        <v>#VALUE!</v>
      </c>
      <c r="J280" s="348">
        <f>SUM($H$18:$H280)</f>
        <v>0</v>
      </c>
    </row>
    <row r="281" spans="1:10" ht="15" customHeight="1">
      <c r="A281" s="349"/>
      <c r="B281" s="346">
        <f t="shared" si="32"/>
      </c>
      <c r="C281" s="346">
        <f t="shared" si="38"/>
      </c>
      <c r="D281" s="346">
        <f t="shared" si="33"/>
      </c>
      <c r="E281" s="347" t="e">
        <f t="shared" si="34"/>
        <v>#VALUE!</v>
      </c>
      <c r="F281" s="348" t="e">
        <f t="shared" si="35"/>
        <v>#VALUE!</v>
      </c>
      <c r="G281" s="346">
        <f t="shared" si="36"/>
      </c>
      <c r="H281" s="346">
        <f t="shared" si="39"/>
      </c>
      <c r="I281" s="348" t="e">
        <f t="shared" si="37"/>
        <v>#VALUE!</v>
      </c>
      <c r="J281" s="348">
        <f>SUM($H$18:$H281)</f>
        <v>0</v>
      </c>
    </row>
    <row r="282" spans="1:10" ht="15" customHeight="1">
      <c r="A282" s="349"/>
      <c r="B282" s="346">
        <f t="shared" si="32"/>
      </c>
      <c r="C282" s="346">
        <f t="shared" si="38"/>
      </c>
      <c r="D282" s="346">
        <f t="shared" si="33"/>
      </c>
      <c r="E282" s="347" t="e">
        <f t="shared" si="34"/>
        <v>#VALUE!</v>
      </c>
      <c r="F282" s="348" t="e">
        <f t="shared" si="35"/>
        <v>#VALUE!</v>
      </c>
      <c r="G282" s="346">
        <f t="shared" si="36"/>
      </c>
      <c r="H282" s="346">
        <f t="shared" si="39"/>
      </c>
      <c r="I282" s="348" t="e">
        <f t="shared" si="37"/>
        <v>#VALUE!</v>
      </c>
      <c r="J282" s="348">
        <f>SUM($H$18:$H282)</f>
        <v>0</v>
      </c>
    </row>
    <row r="283" spans="1:10" ht="15" customHeight="1">
      <c r="A283" s="349"/>
      <c r="B283" s="346">
        <f t="shared" si="32"/>
      </c>
      <c r="C283" s="346">
        <f t="shared" si="38"/>
      </c>
      <c r="D283" s="346">
        <f t="shared" si="33"/>
      </c>
      <c r="E283" s="347" t="e">
        <f t="shared" si="34"/>
        <v>#VALUE!</v>
      </c>
      <c r="F283" s="348" t="e">
        <f t="shared" si="35"/>
        <v>#VALUE!</v>
      </c>
      <c r="G283" s="346">
        <f t="shared" si="36"/>
      </c>
      <c r="H283" s="346">
        <f t="shared" si="39"/>
      </c>
      <c r="I283" s="348" t="e">
        <f t="shared" si="37"/>
        <v>#VALUE!</v>
      </c>
      <c r="J283" s="348">
        <f>SUM($H$18:$H283)</f>
        <v>0</v>
      </c>
    </row>
    <row r="284" spans="1:10" ht="15" customHeight="1">
      <c r="A284" s="349"/>
      <c r="B284" s="346">
        <f t="shared" si="32"/>
      </c>
      <c r="C284" s="346">
        <f t="shared" si="38"/>
      </c>
      <c r="D284" s="346">
        <f t="shared" si="33"/>
      </c>
      <c r="E284" s="347" t="e">
        <f t="shared" si="34"/>
        <v>#VALUE!</v>
      </c>
      <c r="F284" s="348" t="e">
        <f t="shared" si="35"/>
        <v>#VALUE!</v>
      </c>
      <c r="G284" s="346">
        <f t="shared" si="36"/>
      </c>
      <c r="H284" s="346">
        <f t="shared" si="39"/>
      </c>
      <c r="I284" s="348" t="e">
        <f t="shared" si="37"/>
        <v>#VALUE!</v>
      </c>
      <c r="J284" s="348">
        <f>SUM($H$18:$H284)</f>
        <v>0</v>
      </c>
    </row>
    <row r="285" spans="1:10" ht="15" customHeight="1">
      <c r="A285" s="349"/>
      <c r="B285" s="346">
        <f t="shared" si="32"/>
      </c>
      <c r="C285" s="346">
        <f t="shared" si="38"/>
      </c>
      <c r="D285" s="346">
        <f t="shared" si="33"/>
      </c>
      <c r="E285" s="347" t="e">
        <f t="shared" si="34"/>
        <v>#VALUE!</v>
      </c>
      <c r="F285" s="348" t="e">
        <f t="shared" si="35"/>
        <v>#VALUE!</v>
      </c>
      <c r="G285" s="346">
        <f t="shared" si="36"/>
      </c>
      <c r="H285" s="346">
        <f t="shared" si="39"/>
      </c>
      <c r="I285" s="348" t="e">
        <f t="shared" si="37"/>
        <v>#VALUE!</v>
      </c>
      <c r="J285" s="348">
        <f>SUM($H$18:$H285)</f>
        <v>0</v>
      </c>
    </row>
    <row r="286" spans="1:10" ht="15" customHeight="1">
      <c r="A286" s="349"/>
      <c r="B286" s="346">
        <f t="shared" si="32"/>
      </c>
      <c r="C286" s="346">
        <f t="shared" si="38"/>
      </c>
      <c r="D286" s="346">
        <f t="shared" si="33"/>
      </c>
      <c r="E286" s="347" t="e">
        <f t="shared" si="34"/>
        <v>#VALUE!</v>
      </c>
      <c r="F286" s="348" t="e">
        <f t="shared" si="35"/>
        <v>#VALUE!</v>
      </c>
      <c r="G286" s="346">
        <f t="shared" si="36"/>
      </c>
      <c r="H286" s="346">
        <f t="shared" si="39"/>
      </c>
      <c r="I286" s="348" t="e">
        <f t="shared" si="37"/>
        <v>#VALUE!</v>
      </c>
      <c r="J286" s="348">
        <f>SUM($H$18:$H286)</f>
        <v>0</v>
      </c>
    </row>
    <row r="287" spans="1:10" ht="15" customHeight="1">
      <c r="A287" s="349"/>
      <c r="B287" s="346">
        <f t="shared" si="32"/>
      </c>
      <c r="C287" s="346">
        <f t="shared" si="38"/>
      </c>
      <c r="D287" s="346">
        <f t="shared" si="33"/>
      </c>
      <c r="E287" s="347" t="e">
        <f t="shared" si="34"/>
        <v>#VALUE!</v>
      </c>
      <c r="F287" s="348" t="e">
        <f t="shared" si="35"/>
        <v>#VALUE!</v>
      </c>
      <c r="G287" s="346">
        <f t="shared" si="36"/>
      </c>
      <c r="H287" s="346">
        <f t="shared" si="39"/>
      </c>
      <c r="I287" s="348" t="e">
        <f t="shared" si="37"/>
        <v>#VALUE!</v>
      </c>
      <c r="J287" s="348">
        <f>SUM($H$18:$H287)</f>
        <v>0</v>
      </c>
    </row>
    <row r="288" spans="1:10" ht="15" customHeight="1">
      <c r="A288" s="349"/>
      <c r="B288" s="346">
        <f t="shared" si="32"/>
      </c>
      <c r="C288" s="346">
        <f t="shared" si="38"/>
      </c>
      <c r="D288" s="346">
        <f t="shared" si="33"/>
      </c>
      <c r="E288" s="347" t="e">
        <f t="shared" si="34"/>
        <v>#VALUE!</v>
      </c>
      <c r="F288" s="348" t="e">
        <f t="shared" si="35"/>
        <v>#VALUE!</v>
      </c>
      <c r="G288" s="346">
        <f t="shared" si="36"/>
      </c>
      <c r="H288" s="346">
        <f t="shared" si="39"/>
      </c>
      <c r="I288" s="348" t="e">
        <f t="shared" si="37"/>
        <v>#VALUE!</v>
      </c>
      <c r="J288" s="348">
        <f>SUM($H$18:$H288)</f>
        <v>0</v>
      </c>
    </row>
    <row r="289" spans="1:10" ht="15" customHeight="1">
      <c r="A289" s="349"/>
      <c r="B289" s="346">
        <f t="shared" si="32"/>
      </c>
      <c r="C289" s="346">
        <f t="shared" si="38"/>
      </c>
      <c r="D289" s="346">
        <f t="shared" si="33"/>
      </c>
      <c r="E289" s="347" t="e">
        <f t="shared" si="34"/>
        <v>#VALUE!</v>
      </c>
      <c r="F289" s="348" t="e">
        <f t="shared" si="35"/>
        <v>#VALUE!</v>
      </c>
      <c r="G289" s="346">
        <f t="shared" si="36"/>
      </c>
      <c r="H289" s="346">
        <f t="shared" si="39"/>
      </c>
      <c r="I289" s="348" t="e">
        <f t="shared" si="37"/>
        <v>#VALUE!</v>
      </c>
      <c r="J289" s="348">
        <f>SUM($H$18:$H289)</f>
        <v>0</v>
      </c>
    </row>
    <row r="290" spans="1:10" ht="15" customHeight="1">
      <c r="A290" s="349"/>
      <c r="B290" s="346">
        <f t="shared" si="32"/>
      </c>
      <c r="C290" s="346">
        <f t="shared" si="38"/>
      </c>
      <c r="D290" s="346">
        <f t="shared" si="33"/>
      </c>
      <c r="E290" s="347" t="e">
        <f t="shared" si="34"/>
        <v>#VALUE!</v>
      </c>
      <c r="F290" s="348" t="e">
        <f t="shared" si="35"/>
        <v>#VALUE!</v>
      </c>
      <c r="G290" s="346">
        <f t="shared" si="36"/>
      </c>
      <c r="H290" s="346">
        <f t="shared" si="39"/>
      </c>
      <c r="I290" s="348" t="e">
        <f t="shared" si="37"/>
        <v>#VALUE!</v>
      </c>
      <c r="J290" s="348">
        <f>SUM($H$18:$H290)</f>
        <v>0</v>
      </c>
    </row>
    <row r="291" spans="1:10" ht="15" customHeight="1">
      <c r="A291" s="349"/>
      <c r="B291" s="346">
        <f t="shared" si="32"/>
      </c>
      <c r="C291" s="346">
        <f t="shared" si="38"/>
      </c>
      <c r="D291" s="346">
        <f t="shared" si="33"/>
      </c>
      <c r="E291" s="347" t="e">
        <f t="shared" si="34"/>
        <v>#VALUE!</v>
      </c>
      <c r="F291" s="348" t="e">
        <f t="shared" si="35"/>
        <v>#VALUE!</v>
      </c>
      <c r="G291" s="346">
        <f t="shared" si="36"/>
      </c>
      <c r="H291" s="346">
        <f t="shared" si="39"/>
      </c>
      <c r="I291" s="348" t="e">
        <f t="shared" si="37"/>
        <v>#VALUE!</v>
      </c>
      <c r="J291" s="348">
        <f>SUM($H$18:$H291)</f>
        <v>0</v>
      </c>
    </row>
    <row r="292" spans="1:10" ht="15" customHeight="1">
      <c r="A292" s="349"/>
      <c r="B292" s="346">
        <f t="shared" si="32"/>
      </c>
      <c r="C292" s="346">
        <f t="shared" si="38"/>
      </c>
      <c r="D292" s="346">
        <f t="shared" si="33"/>
      </c>
      <c r="E292" s="347" t="e">
        <f t="shared" si="34"/>
        <v>#VALUE!</v>
      </c>
      <c r="F292" s="348" t="e">
        <f t="shared" si="35"/>
        <v>#VALUE!</v>
      </c>
      <c r="G292" s="346">
        <f t="shared" si="36"/>
      </c>
      <c r="H292" s="346">
        <f t="shared" si="39"/>
      </c>
      <c r="I292" s="348" t="e">
        <f t="shared" si="37"/>
        <v>#VALUE!</v>
      </c>
      <c r="J292" s="348">
        <f>SUM($H$18:$H292)</f>
        <v>0</v>
      </c>
    </row>
    <row r="293" spans="1:10" ht="15" customHeight="1">
      <c r="A293" s="349"/>
      <c r="B293" s="346">
        <f t="shared" si="32"/>
      </c>
      <c r="C293" s="346">
        <f t="shared" si="38"/>
      </c>
      <c r="D293" s="346">
        <f t="shared" si="33"/>
      </c>
      <c r="E293" s="347" t="e">
        <f t="shared" si="34"/>
        <v>#VALUE!</v>
      </c>
      <c r="F293" s="348" t="e">
        <f t="shared" si="35"/>
        <v>#VALUE!</v>
      </c>
      <c r="G293" s="346">
        <f t="shared" si="36"/>
      </c>
      <c r="H293" s="346">
        <f t="shared" si="39"/>
      </c>
      <c r="I293" s="348" t="e">
        <f t="shared" si="37"/>
        <v>#VALUE!</v>
      </c>
      <c r="J293" s="348">
        <f>SUM($H$18:$H293)</f>
        <v>0</v>
      </c>
    </row>
    <row r="294" spans="1:10" ht="15" customHeight="1">
      <c r="A294" s="349"/>
      <c r="B294" s="346">
        <f t="shared" si="32"/>
      </c>
      <c r="C294" s="346">
        <f t="shared" si="38"/>
      </c>
      <c r="D294" s="346">
        <f t="shared" si="33"/>
      </c>
      <c r="E294" s="347" t="e">
        <f t="shared" si="34"/>
        <v>#VALUE!</v>
      </c>
      <c r="F294" s="348" t="e">
        <f t="shared" si="35"/>
        <v>#VALUE!</v>
      </c>
      <c r="G294" s="346">
        <f t="shared" si="36"/>
      </c>
      <c r="H294" s="346">
        <f t="shared" si="39"/>
      </c>
      <c r="I294" s="348" t="e">
        <f t="shared" si="37"/>
        <v>#VALUE!</v>
      </c>
      <c r="J294" s="348">
        <f>SUM($H$18:$H294)</f>
        <v>0</v>
      </c>
    </row>
    <row r="295" spans="1:10" ht="15" customHeight="1">
      <c r="A295" s="349"/>
      <c r="B295" s="346">
        <f t="shared" si="32"/>
      </c>
      <c r="C295" s="346">
        <f t="shared" si="38"/>
      </c>
      <c r="D295" s="346">
        <f t="shared" si="33"/>
      </c>
      <c r="E295" s="347" t="e">
        <f t="shared" si="34"/>
        <v>#VALUE!</v>
      </c>
      <c r="F295" s="348" t="e">
        <f t="shared" si="35"/>
        <v>#VALUE!</v>
      </c>
      <c r="G295" s="346">
        <f t="shared" si="36"/>
      </c>
      <c r="H295" s="346">
        <f t="shared" si="39"/>
      </c>
      <c r="I295" s="348" t="e">
        <f t="shared" si="37"/>
        <v>#VALUE!</v>
      </c>
      <c r="J295" s="348">
        <f>SUM($H$18:$H295)</f>
        <v>0</v>
      </c>
    </row>
    <row r="296" spans="1:10" ht="15" customHeight="1">
      <c r="A296" s="349"/>
      <c r="B296" s="346">
        <f t="shared" si="32"/>
      </c>
      <c r="C296" s="346">
        <f t="shared" si="38"/>
      </c>
      <c r="D296" s="346">
        <f t="shared" si="33"/>
      </c>
      <c r="E296" s="347" t="e">
        <f t="shared" si="34"/>
        <v>#VALUE!</v>
      </c>
      <c r="F296" s="348" t="e">
        <f t="shared" si="35"/>
        <v>#VALUE!</v>
      </c>
      <c r="G296" s="346">
        <f t="shared" si="36"/>
      </c>
      <c r="H296" s="346">
        <f t="shared" si="39"/>
      </c>
      <c r="I296" s="348" t="e">
        <f t="shared" si="37"/>
        <v>#VALUE!</v>
      </c>
      <c r="J296" s="348">
        <f>SUM($H$18:$H296)</f>
        <v>0</v>
      </c>
    </row>
    <row r="297" spans="1:10" ht="15" customHeight="1">
      <c r="A297" s="349"/>
      <c r="B297" s="346">
        <f t="shared" si="32"/>
      </c>
      <c r="C297" s="346">
        <f t="shared" si="38"/>
      </c>
      <c r="D297" s="346">
        <f t="shared" si="33"/>
      </c>
      <c r="E297" s="347" t="e">
        <f t="shared" si="34"/>
        <v>#VALUE!</v>
      </c>
      <c r="F297" s="348" t="e">
        <f t="shared" si="35"/>
        <v>#VALUE!</v>
      </c>
      <c r="G297" s="346">
        <f t="shared" si="36"/>
      </c>
      <c r="H297" s="346">
        <f t="shared" si="39"/>
      </c>
      <c r="I297" s="348" t="e">
        <f t="shared" si="37"/>
        <v>#VALUE!</v>
      </c>
      <c r="J297" s="348">
        <f>SUM($H$18:$H297)</f>
        <v>0</v>
      </c>
    </row>
    <row r="298" spans="1:10" ht="15" customHeight="1">
      <c r="A298" s="349"/>
      <c r="B298" s="346">
        <f t="shared" si="32"/>
      </c>
      <c r="C298" s="346">
        <f t="shared" si="38"/>
      </c>
      <c r="D298" s="346">
        <f t="shared" si="33"/>
      </c>
      <c r="E298" s="347" t="e">
        <f t="shared" si="34"/>
        <v>#VALUE!</v>
      </c>
      <c r="F298" s="348" t="e">
        <f t="shared" si="35"/>
        <v>#VALUE!</v>
      </c>
      <c r="G298" s="346">
        <f t="shared" si="36"/>
      </c>
      <c r="H298" s="346">
        <f t="shared" si="39"/>
      </c>
      <c r="I298" s="348" t="e">
        <f t="shared" si="37"/>
        <v>#VALUE!</v>
      </c>
      <c r="J298" s="348">
        <f>SUM($H$18:$H298)</f>
        <v>0</v>
      </c>
    </row>
    <row r="299" spans="1:10" ht="15" customHeight="1">
      <c r="A299" s="349"/>
      <c r="B299" s="346">
        <f t="shared" si="32"/>
      </c>
      <c r="C299" s="346">
        <f t="shared" si="38"/>
      </c>
      <c r="D299" s="346">
        <f t="shared" si="33"/>
      </c>
      <c r="E299" s="347" t="e">
        <f t="shared" si="34"/>
        <v>#VALUE!</v>
      </c>
      <c r="F299" s="348" t="e">
        <f t="shared" si="35"/>
        <v>#VALUE!</v>
      </c>
      <c r="G299" s="346">
        <f t="shared" si="36"/>
      </c>
      <c r="H299" s="346">
        <f t="shared" si="39"/>
      </c>
      <c r="I299" s="348" t="e">
        <f t="shared" si="37"/>
        <v>#VALUE!</v>
      </c>
      <c r="J299" s="348">
        <f>SUM($H$18:$H299)</f>
        <v>0</v>
      </c>
    </row>
    <row r="300" spans="1:10" ht="15" customHeight="1">
      <c r="A300" s="349"/>
      <c r="B300" s="346">
        <f t="shared" si="32"/>
      </c>
      <c r="C300" s="346">
        <f t="shared" si="38"/>
      </c>
      <c r="D300" s="346">
        <f t="shared" si="33"/>
      </c>
      <c r="E300" s="347" t="e">
        <f t="shared" si="34"/>
        <v>#VALUE!</v>
      </c>
      <c r="F300" s="348" t="e">
        <f t="shared" si="35"/>
        <v>#VALUE!</v>
      </c>
      <c r="G300" s="346">
        <f t="shared" si="36"/>
      </c>
      <c r="H300" s="346">
        <f t="shared" si="39"/>
      </c>
      <c r="I300" s="348" t="e">
        <f t="shared" si="37"/>
        <v>#VALUE!</v>
      </c>
      <c r="J300" s="348">
        <f>SUM($H$18:$H300)</f>
        <v>0</v>
      </c>
    </row>
    <row r="301" spans="1:10" ht="15" customHeight="1">
      <c r="A301" s="349"/>
      <c r="B301" s="346">
        <f t="shared" si="32"/>
      </c>
      <c r="C301" s="346">
        <f t="shared" si="38"/>
      </c>
      <c r="D301" s="346">
        <f t="shared" si="33"/>
      </c>
      <c r="E301" s="347" t="e">
        <f t="shared" si="34"/>
        <v>#VALUE!</v>
      </c>
      <c r="F301" s="348" t="e">
        <f t="shared" si="35"/>
        <v>#VALUE!</v>
      </c>
      <c r="G301" s="346">
        <f t="shared" si="36"/>
      </c>
      <c r="H301" s="346">
        <f t="shared" si="39"/>
      </c>
      <c r="I301" s="348" t="e">
        <f t="shared" si="37"/>
        <v>#VALUE!</v>
      </c>
      <c r="J301" s="348">
        <f>SUM($H$18:$H301)</f>
        <v>0</v>
      </c>
    </row>
    <row r="302" spans="1:10" ht="15" customHeight="1">
      <c r="A302" s="349"/>
      <c r="B302" s="346">
        <f t="shared" si="32"/>
      </c>
      <c r="C302" s="346">
        <f t="shared" si="38"/>
      </c>
      <c r="D302" s="346">
        <f t="shared" si="33"/>
      </c>
      <c r="E302" s="347" t="e">
        <f t="shared" si="34"/>
        <v>#VALUE!</v>
      </c>
      <c r="F302" s="348" t="e">
        <f t="shared" si="35"/>
        <v>#VALUE!</v>
      </c>
      <c r="G302" s="346">
        <f t="shared" si="36"/>
      </c>
      <c r="H302" s="346">
        <f t="shared" si="39"/>
      </c>
      <c r="I302" s="348" t="e">
        <f t="shared" si="37"/>
        <v>#VALUE!</v>
      </c>
      <c r="J302" s="348">
        <f>SUM($H$18:$H302)</f>
        <v>0</v>
      </c>
    </row>
    <row r="303" spans="1:10" ht="15" customHeight="1">
      <c r="A303" s="349"/>
      <c r="B303" s="346">
        <f t="shared" si="32"/>
      </c>
      <c r="C303" s="346">
        <f t="shared" si="38"/>
      </c>
      <c r="D303" s="346">
        <f t="shared" si="33"/>
      </c>
      <c r="E303" s="347" t="e">
        <f t="shared" si="34"/>
        <v>#VALUE!</v>
      </c>
      <c r="F303" s="348" t="e">
        <f t="shared" si="35"/>
        <v>#VALUE!</v>
      </c>
      <c r="G303" s="346">
        <f t="shared" si="36"/>
      </c>
      <c r="H303" s="346">
        <f t="shared" si="39"/>
      </c>
      <c r="I303" s="348" t="e">
        <f t="shared" si="37"/>
        <v>#VALUE!</v>
      </c>
      <c r="J303" s="348">
        <f>SUM($H$18:$H303)</f>
        <v>0</v>
      </c>
    </row>
    <row r="304" spans="1:10" ht="15" customHeight="1">
      <c r="A304" s="349"/>
      <c r="B304" s="346">
        <f t="shared" si="32"/>
      </c>
      <c r="C304" s="346">
        <f t="shared" si="38"/>
      </c>
      <c r="D304" s="346">
        <f t="shared" si="33"/>
      </c>
      <c r="E304" s="347" t="e">
        <f t="shared" si="34"/>
        <v>#VALUE!</v>
      </c>
      <c r="F304" s="348" t="e">
        <f t="shared" si="35"/>
        <v>#VALUE!</v>
      </c>
      <c r="G304" s="346">
        <f t="shared" si="36"/>
      </c>
      <c r="H304" s="346">
        <f t="shared" si="39"/>
      </c>
      <c r="I304" s="348" t="e">
        <f t="shared" si="37"/>
        <v>#VALUE!</v>
      </c>
      <c r="J304" s="348">
        <f>SUM($H$18:$H304)</f>
        <v>0</v>
      </c>
    </row>
    <row r="305" spans="1:10" ht="15" customHeight="1">
      <c r="A305" s="349"/>
      <c r="B305" s="346">
        <f t="shared" si="32"/>
      </c>
      <c r="C305" s="346">
        <f t="shared" si="38"/>
      </c>
      <c r="D305" s="346">
        <f t="shared" si="33"/>
      </c>
      <c r="E305" s="347" t="e">
        <f t="shared" si="34"/>
        <v>#VALUE!</v>
      </c>
      <c r="F305" s="348" t="e">
        <f t="shared" si="35"/>
        <v>#VALUE!</v>
      </c>
      <c r="G305" s="346">
        <f t="shared" si="36"/>
      </c>
      <c r="H305" s="346">
        <f t="shared" si="39"/>
      </c>
      <c r="I305" s="348" t="e">
        <f t="shared" si="37"/>
        <v>#VALUE!</v>
      </c>
      <c r="J305" s="348">
        <f>SUM($H$18:$H305)</f>
        <v>0</v>
      </c>
    </row>
    <row r="306" spans="1:10" ht="15" customHeight="1">
      <c r="A306" s="349"/>
      <c r="B306" s="346">
        <f t="shared" si="32"/>
      </c>
      <c r="C306" s="346">
        <f t="shared" si="38"/>
      </c>
      <c r="D306" s="346">
        <f t="shared" si="33"/>
      </c>
      <c r="E306" s="347" t="e">
        <f t="shared" si="34"/>
        <v>#VALUE!</v>
      </c>
      <c r="F306" s="348" t="e">
        <f t="shared" si="35"/>
        <v>#VALUE!</v>
      </c>
      <c r="G306" s="346">
        <f t="shared" si="36"/>
      </c>
      <c r="H306" s="346">
        <f t="shared" si="39"/>
      </c>
      <c r="I306" s="348" t="e">
        <f t="shared" si="37"/>
        <v>#VALUE!</v>
      </c>
      <c r="J306" s="348">
        <f>SUM($H$18:$H306)</f>
        <v>0</v>
      </c>
    </row>
    <row r="307" spans="1:10" ht="15" customHeight="1">
      <c r="A307" s="349"/>
      <c r="B307" s="346">
        <f t="shared" si="32"/>
      </c>
      <c r="C307" s="346">
        <f t="shared" si="38"/>
      </c>
      <c r="D307" s="346">
        <f t="shared" si="33"/>
      </c>
      <c r="E307" s="347" t="e">
        <f t="shared" si="34"/>
        <v>#VALUE!</v>
      </c>
      <c r="F307" s="348" t="e">
        <f t="shared" si="35"/>
        <v>#VALUE!</v>
      </c>
      <c r="G307" s="346">
        <f t="shared" si="36"/>
      </c>
      <c r="H307" s="346">
        <f t="shared" si="39"/>
      </c>
      <c r="I307" s="348" t="e">
        <f t="shared" si="37"/>
        <v>#VALUE!</v>
      </c>
      <c r="J307" s="348">
        <f>SUM($H$18:$H307)</f>
        <v>0</v>
      </c>
    </row>
    <row r="308" spans="1:10" ht="15" customHeight="1">
      <c r="A308" s="349"/>
      <c r="B308" s="346">
        <f t="shared" si="32"/>
      </c>
      <c r="C308" s="346">
        <f t="shared" si="38"/>
      </c>
      <c r="D308" s="346">
        <f t="shared" si="33"/>
      </c>
      <c r="E308" s="347" t="e">
        <f t="shared" si="34"/>
        <v>#VALUE!</v>
      </c>
      <c r="F308" s="348" t="e">
        <f t="shared" si="35"/>
        <v>#VALUE!</v>
      </c>
      <c r="G308" s="346">
        <f t="shared" si="36"/>
      </c>
      <c r="H308" s="346">
        <f t="shared" si="39"/>
      </c>
      <c r="I308" s="348" t="e">
        <f t="shared" si="37"/>
        <v>#VALUE!</v>
      </c>
      <c r="J308" s="348">
        <f>SUM($H$18:$H308)</f>
        <v>0</v>
      </c>
    </row>
    <row r="309" spans="1:10" ht="15" customHeight="1">
      <c r="A309" s="349"/>
      <c r="B309" s="346">
        <f t="shared" si="32"/>
      </c>
      <c r="C309" s="346">
        <f t="shared" si="38"/>
      </c>
      <c r="D309" s="346">
        <f t="shared" si="33"/>
      </c>
      <c r="E309" s="347" t="e">
        <f t="shared" si="34"/>
        <v>#VALUE!</v>
      </c>
      <c r="F309" s="348" t="e">
        <f t="shared" si="35"/>
        <v>#VALUE!</v>
      </c>
      <c r="G309" s="346">
        <f t="shared" si="36"/>
      </c>
      <c r="H309" s="346">
        <f t="shared" si="39"/>
      </c>
      <c r="I309" s="348" t="e">
        <f t="shared" si="37"/>
        <v>#VALUE!</v>
      </c>
      <c r="J309" s="348">
        <f>SUM($H$18:$H309)</f>
        <v>0</v>
      </c>
    </row>
    <row r="310" spans="1:10" ht="15" customHeight="1">
      <c r="A310" s="349"/>
      <c r="B310" s="346">
        <f t="shared" si="32"/>
      </c>
      <c r="C310" s="346">
        <f t="shared" si="38"/>
      </c>
      <c r="D310" s="346">
        <f t="shared" si="33"/>
      </c>
      <c r="E310" s="347" t="e">
        <f t="shared" si="34"/>
        <v>#VALUE!</v>
      </c>
      <c r="F310" s="348" t="e">
        <f t="shared" si="35"/>
        <v>#VALUE!</v>
      </c>
      <c r="G310" s="346">
        <f t="shared" si="36"/>
      </c>
      <c r="H310" s="346">
        <f t="shared" si="39"/>
      </c>
      <c r="I310" s="348" t="e">
        <f t="shared" si="37"/>
        <v>#VALUE!</v>
      </c>
      <c r="J310" s="348">
        <f>SUM($H$18:$H310)</f>
        <v>0</v>
      </c>
    </row>
    <row r="311" spans="1:10" ht="15" customHeight="1">
      <c r="A311" s="349"/>
      <c r="B311" s="346">
        <f t="shared" si="32"/>
      </c>
      <c r="C311" s="346">
        <f t="shared" si="38"/>
      </c>
      <c r="D311" s="346">
        <f t="shared" si="33"/>
      </c>
      <c r="E311" s="347" t="e">
        <f t="shared" si="34"/>
        <v>#VALUE!</v>
      </c>
      <c r="F311" s="348" t="e">
        <f t="shared" si="35"/>
        <v>#VALUE!</v>
      </c>
      <c r="G311" s="346">
        <f t="shared" si="36"/>
      </c>
      <c r="H311" s="346">
        <f t="shared" si="39"/>
      </c>
      <c r="I311" s="348" t="e">
        <f t="shared" si="37"/>
        <v>#VALUE!</v>
      </c>
      <c r="J311" s="348">
        <f>SUM($H$18:$H311)</f>
        <v>0</v>
      </c>
    </row>
    <row r="312" spans="1:10" ht="15" customHeight="1">
      <c r="A312" s="349"/>
      <c r="B312" s="346">
        <f t="shared" si="32"/>
      </c>
      <c r="C312" s="346">
        <f t="shared" si="38"/>
      </c>
      <c r="D312" s="346">
        <f t="shared" si="33"/>
      </c>
      <c r="E312" s="347" t="e">
        <f t="shared" si="34"/>
        <v>#VALUE!</v>
      </c>
      <c r="F312" s="348" t="e">
        <f t="shared" si="35"/>
        <v>#VALUE!</v>
      </c>
      <c r="G312" s="346">
        <f t="shared" si="36"/>
      </c>
      <c r="H312" s="346">
        <f t="shared" si="39"/>
      </c>
      <c r="I312" s="348" t="e">
        <f t="shared" si="37"/>
        <v>#VALUE!</v>
      </c>
      <c r="J312" s="348">
        <f>SUM($H$18:$H312)</f>
        <v>0</v>
      </c>
    </row>
    <row r="313" spans="1:10" ht="15" customHeight="1">
      <c r="A313" s="349"/>
      <c r="B313" s="346">
        <f t="shared" si="32"/>
      </c>
      <c r="C313" s="346">
        <f t="shared" si="38"/>
      </c>
      <c r="D313" s="346">
        <f t="shared" si="33"/>
      </c>
      <c r="E313" s="347" t="e">
        <f t="shared" si="34"/>
        <v>#VALUE!</v>
      </c>
      <c r="F313" s="348" t="e">
        <f t="shared" si="35"/>
        <v>#VALUE!</v>
      </c>
      <c r="G313" s="346">
        <f t="shared" si="36"/>
      </c>
      <c r="H313" s="346">
        <f t="shared" si="39"/>
      </c>
      <c r="I313" s="348" t="e">
        <f t="shared" si="37"/>
        <v>#VALUE!</v>
      </c>
      <c r="J313" s="348">
        <f>SUM($H$18:$H313)</f>
        <v>0</v>
      </c>
    </row>
    <row r="314" spans="1:10" ht="15" customHeight="1">
      <c r="A314" s="349"/>
      <c r="B314" s="346">
        <f t="shared" si="32"/>
      </c>
      <c r="C314" s="346">
        <f t="shared" si="38"/>
      </c>
      <c r="D314" s="346">
        <f t="shared" si="33"/>
      </c>
      <c r="E314" s="347" t="e">
        <f t="shared" si="34"/>
        <v>#VALUE!</v>
      </c>
      <c r="F314" s="348" t="e">
        <f t="shared" si="35"/>
        <v>#VALUE!</v>
      </c>
      <c r="G314" s="346">
        <f t="shared" si="36"/>
      </c>
      <c r="H314" s="346">
        <f t="shared" si="39"/>
      </c>
      <c r="I314" s="348" t="e">
        <f t="shared" si="37"/>
        <v>#VALUE!</v>
      </c>
      <c r="J314" s="348">
        <f>SUM($H$18:$H314)</f>
        <v>0</v>
      </c>
    </row>
    <row r="315" spans="1:10" ht="15" customHeight="1">
      <c r="A315" s="349"/>
      <c r="B315" s="346">
        <f t="shared" si="32"/>
      </c>
      <c r="C315" s="346">
        <f t="shared" si="38"/>
      </c>
      <c r="D315" s="346">
        <f t="shared" si="33"/>
      </c>
      <c r="E315" s="347" t="e">
        <f t="shared" si="34"/>
        <v>#VALUE!</v>
      </c>
      <c r="F315" s="348" t="e">
        <f t="shared" si="35"/>
        <v>#VALUE!</v>
      </c>
      <c r="G315" s="346">
        <f t="shared" si="36"/>
      </c>
      <c r="H315" s="346">
        <f t="shared" si="39"/>
      </c>
      <c r="I315" s="348" t="e">
        <f t="shared" si="37"/>
        <v>#VALUE!</v>
      </c>
      <c r="J315" s="348">
        <f>SUM($H$18:$H315)</f>
        <v>0</v>
      </c>
    </row>
    <row r="316" spans="1:10" ht="15" customHeight="1">
      <c r="A316" s="349"/>
      <c r="B316" s="346">
        <f t="shared" si="32"/>
      </c>
      <c r="C316" s="346">
        <f t="shared" si="38"/>
      </c>
      <c r="D316" s="346">
        <f t="shared" si="33"/>
      </c>
      <c r="E316" s="347" t="e">
        <f t="shared" si="34"/>
        <v>#VALUE!</v>
      </c>
      <c r="F316" s="348" t="e">
        <f t="shared" si="35"/>
        <v>#VALUE!</v>
      </c>
      <c r="G316" s="346">
        <f t="shared" si="36"/>
      </c>
      <c r="H316" s="346">
        <f t="shared" si="39"/>
      </c>
      <c r="I316" s="348" t="e">
        <f t="shared" si="37"/>
        <v>#VALUE!</v>
      </c>
      <c r="J316" s="348">
        <f>SUM($H$18:$H316)</f>
        <v>0</v>
      </c>
    </row>
    <row r="317" spans="1:10" ht="15" customHeight="1">
      <c r="A317" s="349"/>
      <c r="B317" s="346">
        <f t="shared" si="32"/>
      </c>
      <c r="C317" s="346">
        <f t="shared" si="38"/>
      </c>
      <c r="D317" s="346">
        <f t="shared" si="33"/>
      </c>
      <c r="E317" s="347" t="e">
        <f t="shared" si="34"/>
        <v>#VALUE!</v>
      </c>
      <c r="F317" s="348" t="e">
        <f t="shared" si="35"/>
        <v>#VALUE!</v>
      </c>
      <c r="G317" s="346">
        <f t="shared" si="36"/>
      </c>
      <c r="H317" s="346">
        <f t="shared" si="39"/>
      </c>
      <c r="I317" s="348" t="e">
        <f t="shared" si="37"/>
        <v>#VALUE!</v>
      </c>
      <c r="J317" s="348">
        <f>SUM($H$18:$H317)</f>
        <v>0</v>
      </c>
    </row>
    <row r="318" spans="1:10" ht="15" customHeight="1">
      <c r="A318" s="349"/>
      <c r="B318" s="346">
        <f t="shared" si="32"/>
      </c>
      <c r="C318" s="346">
        <f t="shared" si="38"/>
      </c>
      <c r="D318" s="346">
        <f t="shared" si="33"/>
      </c>
      <c r="E318" s="347" t="e">
        <f t="shared" si="34"/>
        <v>#VALUE!</v>
      </c>
      <c r="F318" s="348" t="e">
        <f t="shared" si="35"/>
        <v>#VALUE!</v>
      </c>
      <c r="G318" s="346">
        <f t="shared" si="36"/>
      </c>
      <c r="H318" s="346">
        <f t="shared" si="39"/>
      </c>
      <c r="I318" s="348" t="e">
        <f t="shared" si="37"/>
        <v>#VALUE!</v>
      </c>
      <c r="J318" s="348">
        <f>SUM($H$18:$H318)</f>
        <v>0</v>
      </c>
    </row>
    <row r="319" spans="1:10" ht="15" customHeight="1">
      <c r="A319" s="349"/>
      <c r="B319" s="346">
        <f t="shared" si="32"/>
      </c>
      <c r="C319" s="346">
        <f t="shared" si="38"/>
      </c>
      <c r="D319" s="346">
        <f t="shared" si="33"/>
      </c>
      <c r="E319" s="347" t="e">
        <f t="shared" si="34"/>
        <v>#VALUE!</v>
      </c>
      <c r="F319" s="348" t="e">
        <f t="shared" si="35"/>
        <v>#VALUE!</v>
      </c>
      <c r="G319" s="346">
        <f t="shared" si="36"/>
      </c>
      <c r="H319" s="346">
        <f t="shared" si="39"/>
      </c>
      <c r="I319" s="348" t="e">
        <f t="shared" si="37"/>
        <v>#VALUE!</v>
      </c>
      <c r="J319" s="348">
        <f>SUM($H$18:$H319)</f>
        <v>0</v>
      </c>
    </row>
    <row r="320" spans="1:10" ht="15" customHeight="1">
      <c r="A320" s="349"/>
      <c r="B320" s="346">
        <f t="shared" si="32"/>
      </c>
      <c r="C320" s="346">
        <f t="shared" si="38"/>
      </c>
      <c r="D320" s="346">
        <f t="shared" si="33"/>
      </c>
      <c r="E320" s="347" t="e">
        <f t="shared" si="34"/>
        <v>#VALUE!</v>
      </c>
      <c r="F320" s="348" t="e">
        <f t="shared" si="35"/>
        <v>#VALUE!</v>
      </c>
      <c r="G320" s="346">
        <f t="shared" si="36"/>
      </c>
      <c r="H320" s="346">
        <f t="shared" si="39"/>
      </c>
      <c r="I320" s="348" t="e">
        <f t="shared" si="37"/>
        <v>#VALUE!</v>
      </c>
      <c r="J320" s="348">
        <f>SUM($H$18:$H320)</f>
        <v>0</v>
      </c>
    </row>
    <row r="321" spans="1:10" ht="15" customHeight="1">
      <c r="A321" s="349"/>
      <c r="B321" s="346">
        <f t="shared" si="32"/>
      </c>
      <c r="C321" s="346">
        <f t="shared" si="38"/>
      </c>
      <c r="D321" s="346">
        <f t="shared" si="33"/>
      </c>
      <c r="E321" s="347" t="e">
        <f t="shared" si="34"/>
        <v>#VALUE!</v>
      </c>
      <c r="F321" s="348" t="e">
        <f t="shared" si="35"/>
        <v>#VALUE!</v>
      </c>
      <c r="G321" s="346">
        <f t="shared" si="36"/>
      </c>
      <c r="H321" s="346">
        <f t="shared" si="39"/>
      </c>
      <c r="I321" s="348" t="e">
        <f t="shared" si="37"/>
        <v>#VALUE!</v>
      </c>
      <c r="J321" s="348">
        <f>SUM($H$18:$H321)</f>
        <v>0</v>
      </c>
    </row>
    <row r="322" spans="1:10" ht="15" customHeight="1">
      <c r="A322" s="349"/>
      <c r="B322" s="346">
        <f t="shared" si="32"/>
      </c>
      <c r="C322" s="346">
        <f t="shared" si="38"/>
      </c>
      <c r="D322" s="346">
        <f t="shared" si="33"/>
      </c>
      <c r="E322" s="347" t="e">
        <f t="shared" si="34"/>
        <v>#VALUE!</v>
      </c>
      <c r="F322" s="348" t="e">
        <f t="shared" si="35"/>
        <v>#VALUE!</v>
      </c>
      <c r="G322" s="346">
        <f t="shared" si="36"/>
      </c>
      <c r="H322" s="346">
        <f t="shared" si="39"/>
      </c>
      <c r="I322" s="348" t="e">
        <f t="shared" si="37"/>
        <v>#VALUE!</v>
      </c>
      <c r="J322" s="348">
        <f>SUM($H$18:$H322)</f>
        <v>0</v>
      </c>
    </row>
    <row r="323" spans="1:10" ht="15" customHeight="1">
      <c r="A323" s="349"/>
      <c r="B323" s="346">
        <f t="shared" si="32"/>
      </c>
      <c r="C323" s="346">
        <f t="shared" si="38"/>
      </c>
      <c r="D323" s="346">
        <f t="shared" si="33"/>
      </c>
      <c r="E323" s="347" t="e">
        <f t="shared" si="34"/>
        <v>#VALUE!</v>
      </c>
      <c r="F323" s="348" t="e">
        <f t="shared" si="35"/>
        <v>#VALUE!</v>
      </c>
      <c r="G323" s="346">
        <f t="shared" si="36"/>
      </c>
      <c r="H323" s="346">
        <f t="shared" si="39"/>
      </c>
      <c r="I323" s="348" t="e">
        <f t="shared" si="37"/>
        <v>#VALUE!</v>
      </c>
      <c r="J323" s="348">
        <f>SUM($H$18:$H323)</f>
        <v>0</v>
      </c>
    </row>
    <row r="324" spans="1:10" ht="15" customHeight="1">
      <c r="A324" s="349"/>
      <c r="B324" s="346">
        <f t="shared" si="32"/>
      </c>
      <c r="C324" s="346">
        <f t="shared" si="38"/>
      </c>
      <c r="D324" s="346">
        <f t="shared" si="33"/>
      </c>
      <c r="E324" s="347" t="e">
        <f t="shared" si="34"/>
        <v>#VALUE!</v>
      </c>
      <c r="F324" s="348" t="e">
        <f t="shared" si="35"/>
        <v>#VALUE!</v>
      </c>
      <c r="G324" s="346">
        <f t="shared" si="36"/>
      </c>
      <c r="H324" s="346">
        <f t="shared" si="39"/>
      </c>
      <c r="I324" s="348" t="e">
        <f t="shared" si="37"/>
        <v>#VALUE!</v>
      </c>
      <c r="J324" s="348">
        <f>SUM($H$18:$H324)</f>
        <v>0</v>
      </c>
    </row>
    <row r="325" spans="1:10" ht="15" customHeight="1">
      <c r="A325" s="349"/>
      <c r="B325" s="346">
        <f t="shared" si="32"/>
      </c>
      <c r="C325" s="346">
        <f t="shared" si="38"/>
      </c>
      <c r="D325" s="346">
        <f t="shared" si="33"/>
      </c>
      <c r="E325" s="347" t="e">
        <f t="shared" si="34"/>
        <v>#VALUE!</v>
      </c>
      <c r="F325" s="348" t="e">
        <f t="shared" si="35"/>
        <v>#VALUE!</v>
      </c>
      <c r="G325" s="346">
        <f t="shared" si="36"/>
      </c>
      <c r="H325" s="346">
        <f t="shared" si="39"/>
      </c>
      <c r="I325" s="348" t="e">
        <f t="shared" si="37"/>
        <v>#VALUE!</v>
      </c>
      <c r="J325" s="348">
        <f>SUM($H$18:$H325)</f>
        <v>0</v>
      </c>
    </row>
    <row r="326" spans="1:10" ht="15" customHeight="1">
      <c r="A326" s="349"/>
      <c r="B326" s="346">
        <f t="shared" si="32"/>
      </c>
      <c r="C326" s="346">
        <f t="shared" si="38"/>
      </c>
      <c r="D326" s="346">
        <f t="shared" si="33"/>
      </c>
      <c r="E326" s="347" t="e">
        <f t="shared" si="34"/>
        <v>#VALUE!</v>
      </c>
      <c r="F326" s="348" t="e">
        <f t="shared" si="35"/>
        <v>#VALUE!</v>
      </c>
      <c r="G326" s="346">
        <f t="shared" si="36"/>
      </c>
      <c r="H326" s="346">
        <f t="shared" si="39"/>
      </c>
      <c r="I326" s="348" t="e">
        <f t="shared" si="37"/>
        <v>#VALUE!</v>
      </c>
      <c r="J326" s="348">
        <f>SUM($H$18:$H326)</f>
        <v>0</v>
      </c>
    </row>
    <row r="327" spans="1:10" ht="15" customHeight="1">
      <c r="A327" s="349"/>
      <c r="B327" s="346">
        <f t="shared" si="32"/>
      </c>
      <c r="C327" s="346">
        <f t="shared" si="38"/>
      </c>
      <c r="D327" s="346">
        <f t="shared" si="33"/>
      </c>
      <c r="E327" s="347" t="e">
        <f t="shared" si="34"/>
        <v>#VALUE!</v>
      </c>
      <c r="F327" s="348" t="e">
        <f t="shared" si="35"/>
        <v>#VALUE!</v>
      </c>
      <c r="G327" s="346">
        <f t="shared" si="36"/>
      </c>
      <c r="H327" s="346">
        <f t="shared" si="39"/>
      </c>
      <c r="I327" s="348" t="e">
        <f t="shared" si="37"/>
        <v>#VALUE!</v>
      </c>
      <c r="J327" s="348">
        <f>SUM($H$18:$H327)</f>
        <v>0</v>
      </c>
    </row>
    <row r="328" spans="1:10" ht="15" customHeight="1">
      <c r="A328" s="349"/>
      <c r="B328" s="346">
        <f t="shared" si="32"/>
      </c>
      <c r="C328" s="346">
        <f t="shared" si="38"/>
      </c>
      <c r="D328" s="346">
        <f t="shared" si="33"/>
      </c>
      <c r="E328" s="347" t="e">
        <f t="shared" si="34"/>
        <v>#VALUE!</v>
      </c>
      <c r="F328" s="348" t="e">
        <f t="shared" si="35"/>
        <v>#VALUE!</v>
      </c>
      <c r="G328" s="346">
        <f t="shared" si="36"/>
      </c>
      <c r="H328" s="346">
        <f t="shared" si="39"/>
      </c>
      <c r="I328" s="348" t="e">
        <f t="shared" si="37"/>
        <v>#VALUE!</v>
      </c>
      <c r="J328" s="348">
        <f>SUM($H$18:$H328)</f>
        <v>0</v>
      </c>
    </row>
    <row r="329" spans="1:10" ht="15" customHeight="1">
      <c r="A329" s="349"/>
      <c r="B329" s="346">
        <f t="shared" si="32"/>
      </c>
      <c r="C329" s="346">
        <f t="shared" si="38"/>
      </c>
      <c r="D329" s="346">
        <f t="shared" si="33"/>
      </c>
      <c r="E329" s="347" t="e">
        <f t="shared" si="34"/>
        <v>#VALUE!</v>
      </c>
      <c r="F329" s="348" t="e">
        <f t="shared" si="35"/>
        <v>#VALUE!</v>
      </c>
      <c r="G329" s="346">
        <f t="shared" si="36"/>
      </c>
      <c r="H329" s="346">
        <f t="shared" si="39"/>
      </c>
      <c r="I329" s="348" t="e">
        <f t="shared" si="37"/>
        <v>#VALUE!</v>
      </c>
      <c r="J329" s="348">
        <f>SUM($H$18:$H329)</f>
        <v>0</v>
      </c>
    </row>
    <row r="330" spans="1:10" ht="15" customHeight="1">
      <c r="A330" s="349"/>
      <c r="B330" s="346">
        <f t="shared" si="32"/>
      </c>
      <c r="C330" s="346">
        <f t="shared" si="38"/>
      </c>
      <c r="D330" s="346">
        <f t="shared" si="33"/>
      </c>
      <c r="E330" s="347" t="e">
        <f t="shared" si="34"/>
        <v>#VALUE!</v>
      </c>
      <c r="F330" s="348" t="e">
        <f t="shared" si="35"/>
        <v>#VALUE!</v>
      </c>
      <c r="G330" s="346">
        <f t="shared" si="36"/>
      </c>
      <c r="H330" s="346">
        <f t="shared" si="39"/>
      </c>
      <c r="I330" s="348" t="e">
        <f t="shared" si="37"/>
        <v>#VALUE!</v>
      </c>
      <c r="J330" s="348">
        <f>SUM($H$18:$H330)</f>
        <v>0</v>
      </c>
    </row>
    <row r="331" spans="1:10" ht="15" customHeight="1">
      <c r="A331" s="349"/>
      <c r="B331" s="346">
        <f t="shared" si="32"/>
      </c>
      <c r="C331" s="346">
        <f t="shared" si="38"/>
      </c>
      <c r="D331" s="346">
        <f t="shared" si="33"/>
      </c>
      <c r="E331" s="347" t="e">
        <f t="shared" si="34"/>
        <v>#VALUE!</v>
      </c>
      <c r="F331" s="348" t="e">
        <f t="shared" si="35"/>
        <v>#VALUE!</v>
      </c>
      <c r="G331" s="346">
        <f t="shared" si="36"/>
      </c>
      <c r="H331" s="346">
        <f t="shared" si="39"/>
      </c>
      <c r="I331" s="348" t="e">
        <f t="shared" si="37"/>
        <v>#VALUE!</v>
      </c>
      <c r="J331" s="348">
        <f>SUM($H$18:$H331)</f>
        <v>0</v>
      </c>
    </row>
    <row r="332" spans="1:10" ht="15" customHeight="1">
      <c r="A332" s="349"/>
      <c r="B332" s="346">
        <f t="shared" si="32"/>
      </c>
      <c r="C332" s="346">
        <f t="shared" si="38"/>
      </c>
      <c r="D332" s="346">
        <f t="shared" si="33"/>
      </c>
      <c r="E332" s="347" t="e">
        <f t="shared" si="34"/>
        <v>#VALUE!</v>
      </c>
      <c r="F332" s="348" t="e">
        <f t="shared" si="35"/>
        <v>#VALUE!</v>
      </c>
      <c r="G332" s="346">
        <f t="shared" si="36"/>
      </c>
      <c r="H332" s="346">
        <f t="shared" si="39"/>
      </c>
      <c r="I332" s="348" t="e">
        <f t="shared" si="37"/>
        <v>#VALUE!</v>
      </c>
      <c r="J332" s="348">
        <f>SUM($H$18:$H332)</f>
        <v>0</v>
      </c>
    </row>
    <row r="333" spans="1:10" ht="15" customHeight="1">
      <c r="A333" s="349"/>
      <c r="B333" s="346">
        <f t="shared" si="32"/>
      </c>
      <c r="C333" s="346">
        <f t="shared" si="38"/>
      </c>
      <c r="D333" s="346">
        <f t="shared" si="33"/>
      </c>
      <c r="E333" s="347" t="e">
        <f t="shared" si="34"/>
        <v>#VALUE!</v>
      </c>
      <c r="F333" s="348" t="e">
        <f t="shared" si="35"/>
        <v>#VALUE!</v>
      </c>
      <c r="G333" s="346">
        <f t="shared" si="36"/>
      </c>
      <c r="H333" s="346">
        <f t="shared" si="39"/>
      </c>
      <c r="I333" s="348" t="e">
        <f t="shared" si="37"/>
        <v>#VALUE!</v>
      </c>
      <c r="J333" s="348">
        <f>SUM($H$18:$H333)</f>
        <v>0</v>
      </c>
    </row>
    <row r="334" spans="1:10" ht="15" customHeight="1">
      <c r="A334" s="349"/>
      <c r="B334" s="346">
        <f t="shared" si="32"/>
      </c>
      <c r="C334" s="346">
        <f t="shared" si="38"/>
      </c>
      <c r="D334" s="346">
        <f t="shared" si="33"/>
      </c>
      <c r="E334" s="347" t="e">
        <f t="shared" si="34"/>
        <v>#VALUE!</v>
      </c>
      <c r="F334" s="348" t="e">
        <f t="shared" si="35"/>
        <v>#VALUE!</v>
      </c>
      <c r="G334" s="346">
        <f t="shared" si="36"/>
      </c>
      <c r="H334" s="346">
        <f t="shared" si="39"/>
      </c>
      <c r="I334" s="348" t="e">
        <f t="shared" si="37"/>
        <v>#VALUE!</v>
      </c>
      <c r="J334" s="348">
        <f>SUM($H$18:$H334)</f>
        <v>0</v>
      </c>
    </row>
    <row r="335" spans="1:10" ht="15" customHeight="1">
      <c r="A335" s="349"/>
      <c r="B335" s="346">
        <f t="shared" si="32"/>
      </c>
      <c r="C335" s="346">
        <f t="shared" si="38"/>
      </c>
      <c r="D335" s="346">
        <f t="shared" si="33"/>
      </c>
      <c r="E335" s="347" t="e">
        <f t="shared" si="34"/>
        <v>#VALUE!</v>
      </c>
      <c r="F335" s="348" t="e">
        <f t="shared" si="35"/>
        <v>#VALUE!</v>
      </c>
      <c r="G335" s="346">
        <f t="shared" si="36"/>
      </c>
      <c r="H335" s="346">
        <f t="shared" si="39"/>
      </c>
      <c r="I335" s="348" t="e">
        <f t="shared" si="37"/>
        <v>#VALUE!</v>
      </c>
      <c r="J335" s="348">
        <f>SUM($H$18:$H335)</f>
        <v>0</v>
      </c>
    </row>
    <row r="336" spans="1:10" ht="15" customHeight="1">
      <c r="A336" s="349"/>
      <c r="B336" s="346">
        <f t="shared" si="32"/>
      </c>
      <c r="C336" s="346">
        <f t="shared" si="38"/>
      </c>
      <c r="D336" s="346">
        <f t="shared" si="33"/>
      </c>
      <c r="E336" s="347" t="e">
        <f t="shared" si="34"/>
        <v>#VALUE!</v>
      </c>
      <c r="F336" s="348" t="e">
        <f t="shared" si="35"/>
        <v>#VALUE!</v>
      </c>
      <c r="G336" s="346">
        <f t="shared" si="36"/>
      </c>
      <c r="H336" s="346">
        <f t="shared" si="39"/>
      </c>
      <c r="I336" s="348" t="e">
        <f t="shared" si="37"/>
        <v>#VALUE!</v>
      </c>
      <c r="J336" s="348">
        <f>SUM($H$18:$H336)</f>
        <v>0</v>
      </c>
    </row>
    <row r="337" spans="1:10" ht="15" customHeight="1">
      <c r="A337" s="349"/>
      <c r="B337" s="346">
        <f t="shared" si="32"/>
      </c>
      <c r="C337" s="346">
        <f t="shared" si="38"/>
      </c>
      <c r="D337" s="346">
        <f t="shared" si="33"/>
      </c>
      <c r="E337" s="347" t="e">
        <f t="shared" si="34"/>
        <v>#VALUE!</v>
      </c>
      <c r="F337" s="348" t="e">
        <f t="shared" si="35"/>
        <v>#VALUE!</v>
      </c>
      <c r="G337" s="346">
        <f t="shared" si="36"/>
      </c>
      <c r="H337" s="346">
        <f t="shared" si="39"/>
      </c>
      <c r="I337" s="348" t="e">
        <f t="shared" si="37"/>
        <v>#VALUE!</v>
      </c>
      <c r="J337" s="348">
        <f>SUM($H$18:$H337)</f>
        <v>0</v>
      </c>
    </row>
    <row r="338" spans="1:10" ht="15" customHeight="1">
      <c r="A338" s="349"/>
      <c r="B338" s="346">
        <f aca="true" t="shared" si="40" ref="B338:B377">IF($A$18:$A$377&lt;&gt;"",DATE(YEAR($D$9),MONTH($D$9)+($A$18:$A$377)*12/$D$8,DAY($D$9)),"")</f>
      </c>
      <c r="C338" s="346">
        <f t="shared" si="38"/>
      </c>
      <c r="D338" s="346">
        <f aca="true" t="shared" si="41" ref="D338:D377">IF($A$18:$A$377&lt;&gt;"",$H$5,"")</f>
      </c>
      <c r="E338" s="347" t="e">
        <f aca="true" t="shared" si="42" ref="E338:E377">IF(AND($A$18:$A$377&lt;&gt;"",$D$18:$D$377+$D$10&lt;$C$18:$C$377),$D$10,IF(AND($A$18:$A$377&lt;&gt;"",$C$18:$C$377-$D$18:$D$377&gt;0),$C$18:$C$377-$D$18:$D$377,IF($A$18:$A$377&lt;&gt;"",0,"")))</f>
        <v>#VALUE!</v>
      </c>
      <c r="F338" s="348" t="e">
        <f aca="true" t="shared" si="43" ref="F338:F377">IF(AND($A$18:$A$377&lt;&gt;"",$D$18:$D$377+$E$18:$E$377&lt;$C$18:$C$377),$D$18:$D$377+$E$18:$E$377,IF($A$18:$A$377&lt;&gt;"",$C$18:$C$377,""))</f>
        <v>#VALUE!</v>
      </c>
      <c r="G338" s="346">
        <f aca="true" t="shared" si="44" ref="G338:G377">IF($A$18:$A$377&lt;&gt;"",$F$18:$F$377-$H$18:$H$377,"")</f>
      </c>
      <c r="H338" s="346">
        <f t="shared" si="39"/>
      </c>
      <c r="I338" s="348" t="e">
        <f aca="true" t="shared" si="45" ref="I338:I377">IF(AND($A$18:$A$377&lt;&gt;"",$D$18:$D$377+$E$18:$E$377&lt;$C$18:$C$377),$C$18:$C$377-$G$18:$G$377,IF($A$18:$A$377&lt;&gt;"",0,""))</f>
        <v>#VALUE!</v>
      </c>
      <c r="J338" s="348">
        <f>SUM($H$18:$H338)</f>
        <v>0</v>
      </c>
    </row>
    <row r="339" spans="1:10" ht="15" customHeight="1">
      <c r="A339" s="345"/>
      <c r="B339" s="346">
        <f t="shared" si="40"/>
      </c>
      <c r="C339" s="346">
        <f aca="true" t="shared" si="46" ref="C339:C377">IF($A$18:$A$377&lt;&gt;"",I338,"")</f>
      </c>
      <c r="D339" s="346">
        <f t="shared" si="41"/>
      </c>
      <c r="E339" s="347" t="e">
        <f t="shared" si="42"/>
        <v>#VALUE!</v>
      </c>
      <c r="F339" s="348" t="e">
        <f t="shared" si="43"/>
        <v>#VALUE!</v>
      </c>
      <c r="G339" s="346">
        <f t="shared" si="44"/>
      </c>
      <c r="H339" s="346">
        <f aca="true" t="shared" si="47" ref="H339:H377">IF($A$18:$A$377&lt;&gt;"",$C$18:$C$377*$D$6/$D$8,"")</f>
      </c>
      <c r="I339" s="348" t="e">
        <f t="shared" si="45"/>
        <v>#VALUE!</v>
      </c>
      <c r="J339" s="348">
        <f>SUM($H$18:$H339)</f>
        <v>0</v>
      </c>
    </row>
    <row r="340" spans="1:10" ht="15" customHeight="1">
      <c r="A340" s="349"/>
      <c r="B340" s="346">
        <f t="shared" si="40"/>
      </c>
      <c r="C340" s="346">
        <f t="shared" si="46"/>
      </c>
      <c r="D340" s="346">
        <f t="shared" si="41"/>
      </c>
      <c r="E340" s="347" t="e">
        <f t="shared" si="42"/>
        <v>#VALUE!</v>
      </c>
      <c r="F340" s="348" t="e">
        <f t="shared" si="43"/>
        <v>#VALUE!</v>
      </c>
      <c r="G340" s="346">
        <f t="shared" si="44"/>
      </c>
      <c r="H340" s="346">
        <f t="shared" si="47"/>
      </c>
      <c r="I340" s="348" t="e">
        <f t="shared" si="45"/>
        <v>#VALUE!</v>
      </c>
      <c r="J340" s="348">
        <f>SUM($H$18:$H340)</f>
        <v>0</v>
      </c>
    </row>
    <row r="341" spans="1:10" ht="15" customHeight="1">
      <c r="A341" s="349"/>
      <c r="B341" s="346">
        <f t="shared" si="40"/>
      </c>
      <c r="C341" s="346">
        <f t="shared" si="46"/>
      </c>
      <c r="D341" s="346">
        <f t="shared" si="41"/>
      </c>
      <c r="E341" s="347" t="e">
        <f t="shared" si="42"/>
        <v>#VALUE!</v>
      </c>
      <c r="F341" s="348" t="e">
        <f t="shared" si="43"/>
        <v>#VALUE!</v>
      </c>
      <c r="G341" s="346">
        <f t="shared" si="44"/>
      </c>
      <c r="H341" s="346">
        <f t="shared" si="47"/>
      </c>
      <c r="I341" s="348" t="e">
        <f t="shared" si="45"/>
        <v>#VALUE!</v>
      </c>
      <c r="J341" s="348">
        <f>SUM($H$18:$H341)</f>
        <v>0</v>
      </c>
    </row>
    <row r="342" spans="1:10" ht="15" customHeight="1">
      <c r="A342" s="349"/>
      <c r="B342" s="346">
        <f t="shared" si="40"/>
      </c>
      <c r="C342" s="346">
        <f t="shared" si="46"/>
      </c>
      <c r="D342" s="346">
        <f t="shared" si="41"/>
      </c>
      <c r="E342" s="347" t="e">
        <f t="shared" si="42"/>
        <v>#VALUE!</v>
      </c>
      <c r="F342" s="348" t="e">
        <f t="shared" si="43"/>
        <v>#VALUE!</v>
      </c>
      <c r="G342" s="346">
        <f t="shared" si="44"/>
      </c>
      <c r="H342" s="346">
        <f t="shared" si="47"/>
      </c>
      <c r="I342" s="348" t="e">
        <f t="shared" si="45"/>
        <v>#VALUE!</v>
      </c>
      <c r="J342" s="348">
        <f>SUM($H$18:$H342)</f>
        <v>0</v>
      </c>
    </row>
    <row r="343" spans="1:10" ht="15" customHeight="1">
      <c r="A343" s="349"/>
      <c r="B343" s="346">
        <f t="shared" si="40"/>
      </c>
      <c r="C343" s="346">
        <f t="shared" si="46"/>
      </c>
      <c r="D343" s="346">
        <f t="shared" si="41"/>
      </c>
      <c r="E343" s="347" t="e">
        <f t="shared" si="42"/>
        <v>#VALUE!</v>
      </c>
      <c r="F343" s="348" t="e">
        <f t="shared" si="43"/>
        <v>#VALUE!</v>
      </c>
      <c r="G343" s="346">
        <f t="shared" si="44"/>
      </c>
      <c r="H343" s="346">
        <f t="shared" si="47"/>
      </c>
      <c r="I343" s="348" t="e">
        <f t="shared" si="45"/>
        <v>#VALUE!</v>
      </c>
      <c r="J343" s="348">
        <f>SUM($H$18:$H343)</f>
        <v>0</v>
      </c>
    </row>
    <row r="344" spans="1:10" ht="15" customHeight="1">
      <c r="A344" s="349"/>
      <c r="B344" s="346">
        <f t="shared" si="40"/>
      </c>
      <c r="C344" s="346">
        <f t="shared" si="46"/>
      </c>
      <c r="D344" s="346">
        <f t="shared" si="41"/>
      </c>
      <c r="E344" s="347" t="e">
        <f t="shared" si="42"/>
        <v>#VALUE!</v>
      </c>
      <c r="F344" s="348" t="e">
        <f t="shared" si="43"/>
        <v>#VALUE!</v>
      </c>
      <c r="G344" s="346">
        <f t="shared" si="44"/>
      </c>
      <c r="H344" s="346">
        <f t="shared" si="47"/>
      </c>
      <c r="I344" s="348" t="e">
        <f t="shared" si="45"/>
        <v>#VALUE!</v>
      </c>
      <c r="J344" s="348">
        <f>SUM($H$18:$H344)</f>
        <v>0</v>
      </c>
    </row>
    <row r="345" spans="1:10" ht="15" customHeight="1">
      <c r="A345" s="349"/>
      <c r="B345" s="346">
        <f t="shared" si="40"/>
      </c>
      <c r="C345" s="346">
        <f t="shared" si="46"/>
      </c>
      <c r="D345" s="346">
        <f t="shared" si="41"/>
      </c>
      <c r="E345" s="347" t="e">
        <f t="shared" si="42"/>
        <v>#VALUE!</v>
      </c>
      <c r="F345" s="348" t="e">
        <f t="shared" si="43"/>
        <v>#VALUE!</v>
      </c>
      <c r="G345" s="346">
        <f t="shared" si="44"/>
      </c>
      <c r="H345" s="346">
        <f t="shared" si="47"/>
      </c>
      <c r="I345" s="348" t="e">
        <f t="shared" si="45"/>
        <v>#VALUE!</v>
      </c>
      <c r="J345" s="348">
        <f>SUM($H$18:$H345)</f>
        <v>0</v>
      </c>
    </row>
    <row r="346" spans="1:10" ht="15" customHeight="1">
      <c r="A346" s="349"/>
      <c r="B346" s="346">
        <f t="shared" si="40"/>
      </c>
      <c r="C346" s="346">
        <f t="shared" si="46"/>
      </c>
      <c r="D346" s="346">
        <f t="shared" si="41"/>
      </c>
      <c r="E346" s="347" t="e">
        <f t="shared" si="42"/>
        <v>#VALUE!</v>
      </c>
      <c r="F346" s="348" t="e">
        <f t="shared" si="43"/>
        <v>#VALUE!</v>
      </c>
      <c r="G346" s="346">
        <f t="shared" si="44"/>
      </c>
      <c r="H346" s="346">
        <f t="shared" si="47"/>
      </c>
      <c r="I346" s="348" t="e">
        <f t="shared" si="45"/>
        <v>#VALUE!</v>
      </c>
      <c r="J346" s="348">
        <f>SUM($H$18:$H346)</f>
        <v>0</v>
      </c>
    </row>
    <row r="347" spans="1:10" ht="15" customHeight="1">
      <c r="A347" s="349"/>
      <c r="B347" s="346">
        <f t="shared" si="40"/>
      </c>
      <c r="C347" s="346">
        <f t="shared" si="46"/>
      </c>
      <c r="D347" s="346">
        <f t="shared" si="41"/>
      </c>
      <c r="E347" s="347" t="e">
        <f t="shared" si="42"/>
        <v>#VALUE!</v>
      </c>
      <c r="F347" s="348" t="e">
        <f t="shared" si="43"/>
        <v>#VALUE!</v>
      </c>
      <c r="G347" s="346">
        <f t="shared" si="44"/>
      </c>
      <c r="H347" s="346">
        <f t="shared" si="47"/>
      </c>
      <c r="I347" s="348" t="e">
        <f t="shared" si="45"/>
        <v>#VALUE!</v>
      </c>
      <c r="J347" s="348">
        <f>SUM($H$18:$H347)</f>
        <v>0</v>
      </c>
    </row>
    <row r="348" spans="1:10" ht="15" customHeight="1">
      <c r="A348" s="349"/>
      <c r="B348" s="346">
        <f t="shared" si="40"/>
      </c>
      <c r="C348" s="346">
        <f t="shared" si="46"/>
      </c>
      <c r="D348" s="346">
        <f t="shared" si="41"/>
      </c>
      <c r="E348" s="347" t="e">
        <f t="shared" si="42"/>
        <v>#VALUE!</v>
      </c>
      <c r="F348" s="348" t="e">
        <f t="shared" si="43"/>
        <v>#VALUE!</v>
      </c>
      <c r="G348" s="346">
        <f t="shared" si="44"/>
      </c>
      <c r="H348" s="346">
        <f t="shared" si="47"/>
      </c>
      <c r="I348" s="348" t="e">
        <f t="shared" si="45"/>
        <v>#VALUE!</v>
      </c>
      <c r="J348" s="348">
        <f>SUM($H$18:$H348)</f>
        <v>0</v>
      </c>
    </row>
    <row r="349" spans="1:10" ht="15" customHeight="1">
      <c r="A349" s="349"/>
      <c r="B349" s="346">
        <f t="shared" si="40"/>
      </c>
      <c r="C349" s="346">
        <f t="shared" si="46"/>
      </c>
      <c r="D349" s="346">
        <f t="shared" si="41"/>
      </c>
      <c r="E349" s="347" t="e">
        <f t="shared" si="42"/>
        <v>#VALUE!</v>
      </c>
      <c r="F349" s="348" t="e">
        <f t="shared" si="43"/>
        <v>#VALUE!</v>
      </c>
      <c r="G349" s="346">
        <f t="shared" si="44"/>
      </c>
      <c r="H349" s="346">
        <f t="shared" si="47"/>
      </c>
      <c r="I349" s="348" t="e">
        <f t="shared" si="45"/>
        <v>#VALUE!</v>
      </c>
      <c r="J349" s="348">
        <f>SUM($H$18:$H349)</f>
        <v>0</v>
      </c>
    </row>
    <row r="350" spans="1:10" ht="15" customHeight="1">
      <c r="A350" s="349"/>
      <c r="B350" s="346">
        <f t="shared" si="40"/>
      </c>
      <c r="C350" s="346">
        <f t="shared" si="46"/>
      </c>
      <c r="D350" s="346">
        <f t="shared" si="41"/>
      </c>
      <c r="E350" s="347" t="e">
        <f t="shared" si="42"/>
        <v>#VALUE!</v>
      </c>
      <c r="F350" s="348" t="e">
        <f t="shared" si="43"/>
        <v>#VALUE!</v>
      </c>
      <c r="G350" s="346">
        <f t="shared" si="44"/>
      </c>
      <c r="H350" s="346">
        <f t="shared" si="47"/>
      </c>
      <c r="I350" s="348" t="e">
        <f t="shared" si="45"/>
        <v>#VALUE!</v>
      </c>
      <c r="J350" s="348">
        <f>SUM($H$18:$H350)</f>
        <v>0</v>
      </c>
    </row>
    <row r="351" spans="1:10" ht="15" customHeight="1">
      <c r="A351" s="349"/>
      <c r="B351" s="346">
        <f t="shared" si="40"/>
      </c>
      <c r="C351" s="346">
        <f t="shared" si="46"/>
      </c>
      <c r="D351" s="346">
        <f t="shared" si="41"/>
      </c>
      <c r="E351" s="347" t="e">
        <f t="shared" si="42"/>
        <v>#VALUE!</v>
      </c>
      <c r="F351" s="348" t="e">
        <f t="shared" si="43"/>
        <v>#VALUE!</v>
      </c>
      <c r="G351" s="346">
        <f t="shared" si="44"/>
      </c>
      <c r="H351" s="346">
        <f t="shared" si="47"/>
      </c>
      <c r="I351" s="348" t="e">
        <f t="shared" si="45"/>
        <v>#VALUE!</v>
      </c>
      <c r="J351" s="348">
        <f>SUM($H$18:$H351)</f>
        <v>0</v>
      </c>
    </row>
    <row r="352" spans="1:10" ht="15" customHeight="1">
      <c r="A352" s="349"/>
      <c r="B352" s="346">
        <f t="shared" si="40"/>
      </c>
      <c r="C352" s="346">
        <f t="shared" si="46"/>
      </c>
      <c r="D352" s="346">
        <f t="shared" si="41"/>
      </c>
      <c r="E352" s="347" t="e">
        <f t="shared" si="42"/>
        <v>#VALUE!</v>
      </c>
      <c r="F352" s="348" t="e">
        <f t="shared" si="43"/>
        <v>#VALUE!</v>
      </c>
      <c r="G352" s="346">
        <f t="shared" si="44"/>
      </c>
      <c r="H352" s="346">
        <f t="shared" si="47"/>
      </c>
      <c r="I352" s="348" t="e">
        <f t="shared" si="45"/>
        <v>#VALUE!</v>
      </c>
      <c r="J352" s="348">
        <f>SUM($H$18:$H352)</f>
        <v>0</v>
      </c>
    </row>
    <row r="353" spans="1:10" ht="15" customHeight="1">
      <c r="A353" s="349"/>
      <c r="B353" s="346">
        <f t="shared" si="40"/>
      </c>
      <c r="C353" s="346">
        <f t="shared" si="46"/>
      </c>
      <c r="D353" s="346">
        <f t="shared" si="41"/>
      </c>
      <c r="E353" s="347" t="e">
        <f t="shared" si="42"/>
        <v>#VALUE!</v>
      </c>
      <c r="F353" s="348" t="e">
        <f t="shared" si="43"/>
        <v>#VALUE!</v>
      </c>
      <c r="G353" s="346">
        <f t="shared" si="44"/>
      </c>
      <c r="H353" s="346">
        <f t="shared" si="47"/>
      </c>
      <c r="I353" s="348" t="e">
        <f t="shared" si="45"/>
        <v>#VALUE!</v>
      </c>
      <c r="J353" s="348">
        <f>SUM($H$18:$H353)</f>
        <v>0</v>
      </c>
    </row>
    <row r="354" spans="1:10" ht="15" customHeight="1">
      <c r="A354" s="349"/>
      <c r="B354" s="346">
        <f t="shared" si="40"/>
      </c>
      <c r="C354" s="346">
        <f t="shared" si="46"/>
      </c>
      <c r="D354" s="346">
        <f t="shared" si="41"/>
      </c>
      <c r="E354" s="347" t="e">
        <f t="shared" si="42"/>
        <v>#VALUE!</v>
      </c>
      <c r="F354" s="348" t="e">
        <f t="shared" si="43"/>
        <v>#VALUE!</v>
      </c>
      <c r="G354" s="346">
        <f t="shared" si="44"/>
      </c>
      <c r="H354" s="346">
        <f t="shared" si="47"/>
      </c>
      <c r="I354" s="348" t="e">
        <f t="shared" si="45"/>
        <v>#VALUE!</v>
      </c>
      <c r="J354" s="348">
        <f>SUM($H$18:$H354)</f>
        <v>0</v>
      </c>
    </row>
    <row r="355" spans="1:10" ht="15" customHeight="1">
      <c r="A355" s="349"/>
      <c r="B355" s="346">
        <f t="shared" si="40"/>
      </c>
      <c r="C355" s="346">
        <f t="shared" si="46"/>
      </c>
      <c r="D355" s="346">
        <f t="shared" si="41"/>
      </c>
      <c r="E355" s="347" t="e">
        <f t="shared" si="42"/>
        <v>#VALUE!</v>
      </c>
      <c r="F355" s="348" t="e">
        <f t="shared" si="43"/>
        <v>#VALUE!</v>
      </c>
      <c r="G355" s="346">
        <f t="shared" si="44"/>
      </c>
      <c r="H355" s="346">
        <f t="shared" si="47"/>
      </c>
      <c r="I355" s="348" t="e">
        <f t="shared" si="45"/>
        <v>#VALUE!</v>
      </c>
      <c r="J355" s="348">
        <f>SUM($H$18:$H355)</f>
        <v>0</v>
      </c>
    </row>
    <row r="356" spans="1:10" ht="15" customHeight="1">
      <c r="A356" s="349"/>
      <c r="B356" s="346">
        <f t="shared" si="40"/>
      </c>
      <c r="C356" s="346">
        <f t="shared" si="46"/>
      </c>
      <c r="D356" s="346">
        <f t="shared" si="41"/>
      </c>
      <c r="E356" s="347" t="e">
        <f t="shared" si="42"/>
        <v>#VALUE!</v>
      </c>
      <c r="F356" s="348" t="e">
        <f t="shared" si="43"/>
        <v>#VALUE!</v>
      </c>
      <c r="G356" s="346">
        <f t="shared" si="44"/>
      </c>
      <c r="H356" s="346">
        <f t="shared" si="47"/>
      </c>
      <c r="I356" s="348" t="e">
        <f t="shared" si="45"/>
        <v>#VALUE!</v>
      </c>
      <c r="J356" s="348">
        <f>SUM($H$18:$H356)</f>
        <v>0</v>
      </c>
    </row>
    <row r="357" spans="1:10" ht="15" customHeight="1">
      <c r="A357" s="349"/>
      <c r="B357" s="346">
        <f t="shared" si="40"/>
      </c>
      <c r="C357" s="346">
        <f t="shared" si="46"/>
      </c>
      <c r="D357" s="346">
        <f t="shared" si="41"/>
      </c>
      <c r="E357" s="347" t="e">
        <f t="shared" si="42"/>
        <v>#VALUE!</v>
      </c>
      <c r="F357" s="348" t="e">
        <f t="shared" si="43"/>
        <v>#VALUE!</v>
      </c>
      <c r="G357" s="346">
        <f t="shared" si="44"/>
      </c>
      <c r="H357" s="346">
        <f t="shared" si="47"/>
      </c>
      <c r="I357" s="348" t="e">
        <f t="shared" si="45"/>
        <v>#VALUE!</v>
      </c>
      <c r="J357" s="348">
        <f>SUM($H$18:$H357)</f>
        <v>0</v>
      </c>
    </row>
    <row r="358" spans="1:10" ht="15" customHeight="1">
      <c r="A358" s="349"/>
      <c r="B358" s="346">
        <f t="shared" si="40"/>
      </c>
      <c r="C358" s="346">
        <f t="shared" si="46"/>
      </c>
      <c r="D358" s="346">
        <f t="shared" si="41"/>
      </c>
      <c r="E358" s="347" t="e">
        <f t="shared" si="42"/>
        <v>#VALUE!</v>
      </c>
      <c r="F358" s="348" t="e">
        <f t="shared" si="43"/>
        <v>#VALUE!</v>
      </c>
      <c r="G358" s="346">
        <f t="shared" si="44"/>
      </c>
      <c r="H358" s="346">
        <f t="shared" si="47"/>
      </c>
      <c r="I358" s="348" t="e">
        <f t="shared" si="45"/>
        <v>#VALUE!</v>
      </c>
      <c r="J358" s="348">
        <f>SUM($H$18:$H358)</f>
        <v>0</v>
      </c>
    </row>
    <row r="359" spans="1:10" ht="15" customHeight="1">
      <c r="A359" s="349"/>
      <c r="B359" s="346">
        <f t="shared" si="40"/>
      </c>
      <c r="C359" s="346">
        <f t="shared" si="46"/>
      </c>
      <c r="D359" s="346">
        <f t="shared" si="41"/>
      </c>
      <c r="E359" s="347" t="e">
        <f t="shared" si="42"/>
        <v>#VALUE!</v>
      </c>
      <c r="F359" s="348" t="e">
        <f t="shared" si="43"/>
        <v>#VALUE!</v>
      </c>
      <c r="G359" s="346">
        <f t="shared" si="44"/>
      </c>
      <c r="H359" s="346">
        <f t="shared" si="47"/>
      </c>
      <c r="I359" s="348" t="e">
        <f t="shared" si="45"/>
        <v>#VALUE!</v>
      </c>
      <c r="J359" s="348">
        <f>SUM($H$18:$H359)</f>
        <v>0</v>
      </c>
    </row>
    <row r="360" spans="1:10" ht="15" customHeight="1">
      <c r="A360" s="349"/>
      <c r="B360" s="346">
        <f t="shared" si="40"/>
      </c>
      <c r="C360" s="346">
        <f t="shared" si="46"/>
      </c>
      <c r="D360" s="346">
        <f t="shared" si="41"/>
      </c>
      <c r="E360" s="347" t="e">
        <f t="shared" si="42"/>
        <v>#VALUE!</v>
      </c>
      <c r="F360" s="348" t="e">
        <f t="shared" si="43"/>
        <v>#VALUE!</v>
      </c>
      <c r="G360" s="346">
        <f t="shared" si="44"/>
      </c>
      <c r="H360" s="346">
        <f t="shared" si="47"/>
      </c>
      <c r="I360" s="348" t="e">
        <f t="shared" si="45"/>
        <v>#VALUE!</v>
      </c>
      <c r="J360" s="348">
        <f>SUM($H$18:$H360)</f>
        <v>0</v>
      </c>
    </row>
    <row r="361" spans="1:10" ht="15" customHeight="1">
      <c r="A361" s="349"/>
      <c r="B361" s="346">
        <f t="shared" si="40"/>
      </c>
      <c r="C361" s="346">
        <f t="shared" si="46"/>
      </c>
      <c r="D361" s="346">
        <f t="shared" si="41"/>
      </c>
      <c r="E361" s="347" t="e">
        <f t="shared" si="42"/>
        <v>#VALUE!</v>
      </c>
      <c r="F361" s="348" t="e">
        <f t="shared" si="43"/>
        <v>#VALUE!</v>
      </c>
      <c r="G361" s="346">
        <f t="shared" si="44"/>
      </c>
      <c r="H361" s="346">
        <f t="shared" si="47"/>
      </c>
      <c r="I361" s="348" t="e">
        <f t="shared" si="45"/>
        <v>#VALUE!</v>
      </c>
      <c r="J361" s="348">
        <f>SUM($H$18:$H361)</f>
        <v>0</v>
      </c>
    </row>
    <row r="362" spans="1:10" ht="15" customHeight="1">
      <c r="A362" s="349"/>
      <c r="B362" s="346">
        <f t="shared" si="40"/>
      </c>
      <c r="C362" s="346">
        <f t="shared" si="46"/>
      </c>
      <c r="D362" s="346">
        <f t="shared" si="41"/>
      </c>
      <c r="E362" s="347" t="e">
        <f t="shared" si="42"/>
        <v>#VALUE!</v>
      </c>
      <c r="F362" s="348" t="e">
        <f t="shared" si="43"/>
        <v>#VALUE!</v>
      </c>
      <c r="G362" s="346">
        <f t="shared" si="44"/>
      </c>
      <c r="H362" s="346">
        <f t="shared" si="47"/>
      </c>
      <c r="I362" s="348" t="e">
        <f t="shared" si="45"/>
        <v>#VALUE!</v>
      </c>
      <c r="J362" s="348">
        <f>SUM($H$18:$H362)</f>
        <v>0</v>
      </c>
    </row>
    <row r="363" spans="1:10" ht="15" customHeight="1">
      <c r="A363" s="349"/>
      <c r="B363" s="346">
        <f t="shared" si="40"/>
      </c>
      <c r="C363" s="346">
        <f t="shared" si="46"/>
      </c>
      <c r="D363" s="346">
        <f t="shared" si="41"/>
      </c>
      <c r="E363" s="347" t="e">
        <f t="shared" si="42"/>
        <v>#VALUE!</v>
      </c>
      <c r="F363" s="348" t="e">
        <f t="shared" si="43"/>
        <v>#VALUE!</v>
      </c>
      <c r="G363" s="346">
        <f t="shared" si="44"/>
      </c>
      <c r="H363" s="346">
        <f t="shared" si="47"/>
      </c>
      <c r="I363" s="348" t="e">
        <f t="shared" si="45"/>
        <v>#VALUE!</v>
      </c>
      <c r="J363" s="348">
        <f>SUM($H$18:$H363)</f>
        <v>0</v>
      </c>
    </row>
    <row r="364" spans="1:10" ht="15" customHeight="1">
      <c r="A364" s="349"/>
      <c r="B364" s="346">
        <f t="shared" si="40"/>
      </c>
      <c r="C364" s="346">
        <f t="shared" si="46"/>
      </c>
      <c r="D364" s="346">
        <f t="shared" si="41"/>
      </c>
      <c r="E364" s="347" t="e">
        <f t="shared" si="42"/>
        <v>#VALUE!</v>
      </c>
      <c r="F364" s="348" t="e">
        <f t="shared" si="43"/>
        <v>#VALUE!</v>
      </c>
      <c r="G364" s="346">
        <f t="shared" si="44"/>
      </c>
      <c r="H364" s="346">
        <f t="shared" si="47"/>
      </c>
      <c r="I364" s="348" t="e">
        <f t="shared" si="45"/>
        <v>#VALUE!</v>
      </c>
      <c r="J364" s="348">
        <f>SUM($H$18:$H364)</f>
        <v>0</v>
      </c>
    </row>
    <row r="365" spans="1:10" ht="15" customHeight="1">
      <c r="A365" s="349"/>
      <c r="B365" s="346">
        <f t="shared" si="40"/>
      </c>
      <c r="C365" s="346">
        <f t="shared" si="46"/>
      </c>
      <c r="D365" s="346">
        <f t="shared" si="41"/>
      </c>
      <c r="E365" s="347" t="e">
        <f t="shared" si="42"/>
        <v>#VALUE!</v>
      </c>
      <c r="F365" s="348" t="e">
        <f t="shared" si="43"/>
        <v>#VALUE!</v>
      </c>
      <c r="G365" s="346">
        <f t="shared" si="44"/>
      </c>
      <c r="H365" s="346">
        <f t="shared" si="47"/>
      </c>
      <c r="I365" s="348" t="e">
        <f t="shared" si="45"/>
        <v>#VALUE!</v>
      </c>
      <c r="J365" s="348">
        <f>SUM($H$18:$H365)</f>
        <v>0</v>
      </c>
    </row>
    <row r="366" spans="1:10" ht="15" customHeight="1">
      <c r="A366" s="349"/>
      <c r="B366" s="346">
        <f t="shared" si="40"/>
      </c>
      <c r="C366" s="346">
        <f t="shared" si="46"/>
      </c>
      <c r="D366" s="346">
        <f t="shared" si="41"/>
      </c>
      <c r="E366" s="347" t="e">
        <f t="shared" si="42"/>
        <v>#VALUE!</v>
      </c>
      <c r="F366" s="348" t="e">
        <f t="shared" si="43"/>
        <v>#VALUE!</v>
      </c>
      <c r="G366" s="346">
        <f t="shared" si="44"/>
      </c>
      <c r="H366" s="346">
        <f t="shared" si="47"/>
      </c>
      <c r="I366" s="348" t="e">
        <f t="shared" si="45"/>
        <v>#VALUE!</v>
      </c>
      <c r="J366" s="348">
        <f>SUM($H$18:$H366)</f>
        <v>0</v>
      </c>
    </row>
    <row r="367" spans="1:10" ht="15" customHeight="1">
      <c r="A367" s="349"/>
      <c r="B367" s="346">
        <f t="shared" si="40"/>
      </c>
      <c r="C367" s="346">
        <f t="shared" si="46"/>
      </c>
      <c r="D367" s="346">
        <f t="shared" si="41"/>
      </c>
      <c r="E367" s="347" t="e">
        <f t="shared" si="42"/>
        <v>#VALUE!</v>
      </c>
      <c r="F367" s="348" t="e">
        <f t="shared" si="43"/>
        <v>#VALUE!</v>
      </c>
      <c r="G367" s="346">
        <f t="shared" si="44"/>
      </c>
      <c r="H367" s="346">
        <f t="shared" si="47"/>
      </c>
      <c r="I367" s="348" t="e">
        <f t="shared" si="45"/>
        <v>#VALUE!</v>
      </c>
      <c r="J367" s="348">
        <f>SUM($H$18:$H367)</f>
        <v>0</v>
      </c>
    </row>
    <row r="368" spans="1:10" ht="15" customHeight="1">
      <c r="A368" s="349"/>
      <c r="B368" s="346">
        <f t="shared" si="40"/>
      </c>
      <c r="C368" s="346">
        <f t="shared" si="46"/>
      </c>
      <c r="D368" s="346">
        <f t="shared" si="41"/>
      </c>
      <c r="E368" s="347" t="e">
        <f t="shared" si="42"/>
        <v>#VALUE!</v>
      </c>
      <c r="F368" s="348" t="e">
        <f t="shared" si="43"/>
        <v>#VALUE!</v>
      </c>
      <c r="G368" s="346">
        <f t="shared" si="44"/>
      </c>
      <c r="H368" s="346">
        <f t="shared" si="47"/>
      </c>
      <c r="I368" s="348" t="e">
        <f t="shared" si="45"/>
        <v>#VALUE!</v>
      </c>
      <c r="J368" s="348">
        <f>SUM($H$18:$H368)</f>
        <v>0</v>
      </c>
    </row>
    <row r="369" spans="1:10" ht="15" customHeight="1">
      <c r="A369" s="349"/>
      <c r="B369" s="346">
        <f t="shared" si="40"/>
      </c>
      <c r="C369" s="346">
        <f t="shared" si="46"/>
      </c>
      <c r="D369" s="346">
        <f t="shared" si="41"/>
      </c>
      <c r="E369" s="347" t="e">
        <f t="shared" si="42"/>
        <v>#VALUE!</v>
      </c>
      <c r="F369" s="348" t="e">
        <f t="shared" si="43"/>
        <v>#VALUE!</v>
      </c>
      <c r="G369" s="346">
        <f t="shared" si="44"/>
      </c>
      <c r="H369" s="346">
        <f t="shared" si="47"/>
      </c>
      <c r="I369" s="348" t="e">
        <f t="shared" si="45"/>
        <v>#VALUE!</v>
      </c>
      <c r="J369" s="348">
        <f>SUM($H$18:$H369)</f>
        <v>0</v>
      </c>
    </row>
    <row r="370" spans="1:10" ht="15" customHeight="1">
      <c r="A370" s="349"/>
      <c r="B370" s="346">
        <f t="shared" si="40"/>
      </c>
      <c r="C370" s="346">
        <f t="shared" si="46"/>
      </c>
      <c r="D370" s="346">
        <f t="shared" si="41"/>
      </c>
      <c r="E370" s="347" t="e">
        <f t="shared" si="42"/>
        <v>#VALUE!</v>
      </c>
      <c r="F370" s="348" t="e">
        <f t="shared" si="43"/>
        <v>#VALUE!</v>
      </c>
      <c r="G370" s="346">
        <f t="shared" si="44"/>
      </c>
      <c r="H370" s="346">
        <f t="shared" si="47"/>
      </c>
      <c r="I370" s="348" t="e">
        <f t="shared" si="45"/>
        <v>#VALUE!</v>
      </c>
      <c r="J370" s="348">
        <f>SUM($H$18:$H370)</f>
        <v>0</v>
      </c>
    </row>
    <row r="371" spans="1:10" ht="15" customHeight="1">
      <c r="A371" s="349"/>
      <c r="B371" s="346">
        <f t="shared" si="40"/>
      </c>
      <c r="C371" s="346">
        <f t="shared" si="46"/>
      </c>
      <c r="D371" s="346">
        <f t="shared" si="41"/>
      </c>
      <c r="E371" s="347" t="e">
        <f t="shared" si="42"/>
        <v>#VALUE!</v>
      </c>
      <c r="F371" s="348" t="e">
        <f t="shared" si="43"/>
        <v>#VALUE!</v>
      </c>
      <c r="G371" s="346">
        <f t="shared" si="44"/>
      </c>
      <c r="H371" s="346">
        <f t="shared" si="47"/>
      </c>
      <c r="I371" s="348" t="e">
        <f t="shared" si="45"/>
        <v>#VALUE!</v>
      </c>
      <c r="J371" s="348">
        <f>SUM($H$18:$H371)</f>
        <v>0</v>
      </c>
    </row>
    <row r="372" spans="1:10" ht="15" customHeight="1">
      <c r="A372" s="349"/>
      <c r="B372" s="346">
        <f t="shared" si="40"/>
      </c>
      <c r="C372" s="346">
        <f t="shared" si="46"/>
      </c>
      <c r="D372" s="346">
        <f t="shared" si="41"/>
      </c>
      <c r="E372" s="347" t="e">
        <f t="shared" si="42"/>
        <v>#VALUE!</v>
      </c>
      <c r="F372" s="348" t="e">
        <f t="shared" si="43"/>
        <v>#VALUE!</v>
      </c>
      <c r="G372" s="346">
        <f t="shared" si="44"/>
      </c>
      <c r="H372" s="346">
        <f t="shared" si="47"/>
      </c>
      <c r="I372" s="348" t="e">
        <f t="shared" si="45"/>
        <v>#VALUE!</v>
      </c>
      <c r="J372" s="348">
        <f>SUM($H$18:$H372)</f>
        <v>0</v>
      </c>
    </row>
    <row r="373" spans="1:10" ht="15" customHeight="1">
      <c r="A373" s="349"/>
      <c r="B373" s="346">
        <f t="shared" si="40"/>
      </c>
      <c r="C373" s="346">
        <f t="shared" si="46"/>
      </c>
      <c r="D373" s="346">
        <f t="shared" si="41"/>
      </c>
      <c r="E373" s="347" t="e">
        <f t="shared" si="42"/>
        <v>#VALUE!</v>
      </c>
      <c r="F373" s="348" t="e">
        <f t="shared" si="43"/>
        <v>#VALUE!</v>
      </c>
      <c r="G373" s="346">
        <f t="shared" si="44"/>
      </c>
      <c r="H373" s="346">
        <f t="shared" si="47"/>
      </c>
      <c r="I373" s="348" t="e">
        <f t="shared" si="45"/>
        <v>#VALUE!</v>
      </c>
      <c r="J373" s="348">
        <f>SUM($H$18:$H373)</f>
        <v>0</v>
      </c>
    </row>
    <row r="374" spans="1:10" ht="15" customHeight="1">
      <c r="A374" s="349"/>
      <c r="B374" s="346">
        <f t="shared" si="40"/>
      </c>
      <c r="C374" s="346">
        <f t="shared" si="46"/>
      </c>
      <c r="D374" s="346">
        <f t="shared" si="41"/>
      </c>
      <c r="E374" s="347" t="e">
        <f t="shared" si="42"/>
        <v>#VALUE!</v>
      </c>
      <c r="F374" s="348" t="e">
        <f t="shared" si="43"/>
        <v>#VALUE!</v>
      </c>
      <c r="G374" s="346">
        <f t="shared" si="44"/>
      </c>
      <c r="H374" s="346">
        <f t="shared" si="47"/>
      </c>
      <c r="I374" s="348" t="e">
        <f t="shared" si="45"/>
        <v>#VALUE!</v>
      </c>
      <c r="J374" s="348">
        <f>SUM($H$18:$H374)</f>
        <v>0</v>
      </c>
    </row>
    <row r="375" spans="1:10" ht="15" customHeight="1">
      <c r="A375" s="349"/>
      <c r="B375" s="346">
        <f t="shared" si="40"/>
      </c>
      <c r="C375" s="346">
        <f t="shared" si="46"/>
      </c>
      <c r="D375" s="346">
        <f t="shared" si="41"/>
      </c>
      <c r="E375" s="347" t="e">
        <f t="shared" si="42"/>
        <v>#VALUE!</v>
      </c>
      <c r="F375" s="348" t="e">
        <f t="shared" si="43"/>
        <v>#VALUE!</v>
      </c>
      <c r="G375" s="346">
        <f t="shared" si="44"/>
      </c>
      <c r="H375" s="346">
        <f t="shared" si="47"/>
      </c>
      <c r="I375" s="348" t="e">
        <f t="shared" si="45"/>
        <v>#VALUE!</v>
      </c>
      <c r="J375" s="348">
        <f>SUM($H$18:$H375)</f>
        <v>0</v>
      </c>
    </row>
    <row r="376" spans="1:10" ht="15" customHeight="1">
      <c r="A376" s="349"/>
      <c r="B376" s="346">
        <f t="shared" si="40"/>
      </c>
      <c r="C376" s="346">
        <f t="shared" si="46"/>
      </c>
      <c r="D376" s="346">
        <f t="shared" si="41"/>
      </c>
      <c r="E376" s="347" t="e">
        <f t="shared" si="42"/>
        <v>#VALUE!</v>
      </c>
      <c r="F376" s="348" t="e">
        <f t="shared" si="43"/>
        <v>#VALUE!</v>
      </c>
      <c r="G376" s="346">
        <f t="shared" si="44"/>
      </c>
      <c r="H376" s="346">
        <f t="shared" si="47"/>
      </c>
      <c r="I376" s="348" t="e">
        <f t="shared" si="45"/>
        <v>#VALUE!</v>
      </c>
      <c r="J376" s="348">
        <f>SUM($H$18:$H376)</f>
        <v>0</v>
      </c>
    </row>
    <row r="377" spans="1:10" ht="15" customHeight="1">
      <c r="A377" s="349"/>
      <c r="B377" s="346">
        <f t="shared" si="40"/>
      </c>
      <c r="C377" s="346">
        <f t="shared" si="46"/>
      </c>
      <c r="D377" s="346">
        <f t="shared" si="41"/>
      </c>
      <c r="E377" s="347" t="e">
        <f t="shared" si="42"/>
        <v>#VALUE!</v>
      </c>
      <c r="F377" s="348" t="e">
        <f t="shared" si="43"/>
        <v>#VALUE!</v>
      </c>
      <c r="G377" s="346">
        <f t="shared" si="44"/>
      </c>
      <c r="H377" s="346">
        <f t="shared" si="47"/>
      </c>
      <c r="I377" s="348" t="e">
        <f t="shared" si="45"/>
        <v>#VALUE!</v>
      </c>
      <c r="J377" s="348">
        <f>SUM($H$18:$H377)</f>
        <v>0</v>
      </c>
    </row>
  </sheetData>
  <sheetProtection/>
  <mergeCells count="4">
    <mergeCell ref="C12:D12"/>
    <mergeCell ref="F4:H4"/>
    <mergeCell ref="B4:D4"/>
    <mergeCell ref="A1:D1"/>
  </mergeCells>
  <printOptions/>
  <pageMargins left="0.75" right="0.75" top="1" bottom="1" header="0.5" footer="0.5"/>
  <pageSetup horizontalDpi="600" verticalDpi="600" orientation="portrait"/>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dimension ref="A1:H70"/>
  <sheetViews>
    <sheetView zoomScalePageLayoutView="0" workbookViewId="0" topLeftCell="A61">
      <selection activeCell="A1" sqref="A1:F1"/>
    </sheetView>
  </sheetViews>
  <sheetFormatPr defaultColWidth="11.19921875" defaultRowHeight="15"/>
  <cols>
    <col min="1" max="1" width="13.5" style="0" customWidth="1"/>
    <col min="2" max="2" width="17.8984375" style="0" customWidth="1"/>
    <col min="3" max="3" width="11.59765625" style="0" customWidth="1"/>
    <col min="4" max="4" width="14.09765625" style="0" customWidth="1"/>
    <col min="5" max="5" width="13.09765625" style="0" customWidth="1"/>
    <col min="6" max="6" width="11.5" style="479" bestFit="1" customWidth="1"/>
    <col min="7" max="7" width="11.69921875" style="0" customWidth="1"/>
    <col min="8" max="8" width="11.5" style="479" bestFit="1" customWidth="1"/>
    <col min="9" max="16384" width="8.59765625" style="0" customWidth="1"/>
  </cols>
  <sheetData>
    <row r="1" spans="1:6" ht="36.75" customHeight="1">
      <c r="A1" s="532" t="s">
        <v>358</v>
      </c>
      <c r="B1" s="532"/>
      <c r="C1" s="532"/>
      <c r="D1" s="532"/>
      <c r="E1" s="532"/>
      <c r="F1" s="532"/>
    </row>
    <row r="2" spans="1:4" ht="18">
      <c r="A2" s="460" t="s">
        <v>280</v>
      </c>
      <c r="B2" s="460" t="s">
        <v>281</v>
      </c>
      <c r="C2" s="461" t="s">
        <v>282</v>
      </c>
      <c r="D2" s="462" t="s">
        <v>345</v>
      </c>
    </row>
    <row r="3" spans="1:4" ht="18">
      <c r="A3" s="487">
        <v>100</v>
      </c>
      <c r="B3" s="488" t="s">
        <v>283</v>
      </c>
      <c r="C3" s="489" t="s">
        <v>284</v>
      </c>
      <c r="D3" s="488">
        <v>130</v>
      </c>
    </row>
    <row r="4" spans="1:6" ht="18">
      <c r="A4" s="467">
        <v>101</v>
      </c>
      <c r="B4" s="468" t="s">
        <v>285</v>
      </c>
      <c r="C4" s="469" t="s">
        <v>286</v>
      </c>
      <c r="D4" s="468">
        <v>777</v>
      </c>
      <c r="E4" s="470"/>
      <c r="F4" s="480"/>
    </row>
    <row r="5" spans="1:6" ht="18">
      <c r="A5" s="467">
        <v>102</v>
      </c>
      <c r="B5" s="468" t="s">
        <v>287</v>
      </c>
      <c r="C5" s="469" t="s">
        <v>286</v>
      </c>
      <c r="D5" s="468">
        <v>777</v>
      </c>
      <c r="E5" s="470"/>
      <c r="F5" s="480"/>
    </row>
    <row r="6" spans="1:6" ht="18">
      <c r="A6" s="467">
        <v>103</v>
      </c>
      <c r="B6" s="468" t="s">
        <v>288</v>
      </c>
      <c r="C6" s="469" t="s">
        <v>286</v>
      </c>
      <c r="D6" s="468">
        <v>777</v>
      </c>
      <c r="E6" s="470"/>
      <c r="F6" s="480"/>
    </row>
    <row r="7" spans="1:6" ht="18">
      <c r="A7" s="467">
        <v>104</v>
      </c>
      <c r="B7" s="468" t="s">
        <v>289</v>
      </c>
      <c r="C7" s="469" t="s">
        <v>286</v>
      </c>
      <c r="D7" s="468">
        <v>701</v>
      </c>
      <c r="E7" s="470"/>
      <c r="F7" s="480"/>
    </row>
    <row r="8" spans="1:6" ht="18">
      <c r="A8" s="467">
        <v>105</v>
      </c>
      <c r="B8" s="468" t="s">
        <v>290</v>
      </c>
      <c r="C8" s="469" t="s">
        <v>286</v>
      </c>
      <c r="D8" s="468">
        <v>701</v>
      </c>
      <c r="E8" s="470"/>
      <c r="F8" s="480"/>
    </row>
    <row r="9" spans="1:6" ht="18">
      <c r="A9" s="467">
        <v>106</v>
      </c>
      <c r="B9" s="468" t="s">
        <v>291</v>
      </c>
      <c r="C9" s="469" t="s">
        <v>286</v>
      </c>
      <c r="D9" s="468">
        <v>777</v>
      </c>
      <c r="E9" s="470"/>
      <c r="F9" s="480"/>
    </row>
    <row r="10" spans="1:6" ht="18">
      <c r="A10" s="467">
        <v>107</v>
      </c>
      <c r="B10" s="468" t="s">
        <v>292</v>
      </c>
      <c r="C10" s="469" t="s">
        <v>286</v>
      </c>
      <c r="D10" s="468">
        <v>777</v>
      </c>
      <c r="E10" s="470"/>
      <c r="F10" s="480"/>
    </row>
    <row r="11" spans="1:6" ht="51">
      <c r="A11" s="467">
        <v>108</v>
      </c>
      <c r="B11" s="468" t="s">
        <v>293</v>
      </c>
      <c r="C11" s="469" t="s">
        <v>286</v>
      </c>
      <c r="D11" s="468">
        <v>777</v>
      </c>
      <c r="E11" s="470" t="s">
        <v>346</v>
      </c>
      <c r="F11" s="480">
        <f>AVERAGE(D4:D12)</f>
        <v>721.4444444444445</v>
      </c>
    </row>
    <row r="12" spans="1:6" ht="33.75">
      <c r="A12" s="467">
        <v>109</v>
      </c>
      <c r="B12" s="468" t="s">
        <v>294</v>
      </c>
      <c r="C12" s="469" t="s">
        <v>286</v>
      </c>
      <c r="D12" s="468">
        <v>429</v>
      </c>
      <c r="E12" s="470" t="s">
        <v>347</v>
      </c>
      <c r="F12" s="480">
        <f>SUM(D4:D12)</f>
        <v>6493</v>
      </c>
    </row>
    <row r="13" spans="1:4" ht="18">
      <c r="A13" s="487">
        <v>110</v>
      </c>
      <c r="B13" s="490" t="s">
        <v>295</v>
      </c>
      <c r="C13" s="489" t="s">
        <v>286</v>
      </c>
      <c r="D13" s="488">
        <v>436</v>
      </c>
    </row>
    <row r="14" spans="1:4" ht="18">
      <c r="A14" s="487">
        <v>111</v>
      </c>
      <c r="B14" s="488" t="s">
        <v>296</v>
      </c>
      <c r="C14" s="489" t="s">
        <v>284</v>
      </c>
      <c r="D14" s="488">
        <v>376</v>
      </c>
    </row>
    <row r="15" spans="1:6" ht="18">
      <c r="A15" s="463">
        <v>112</v>
      </c>
      <c r="B15" s="464" t="s">
        <v>297</v>
      </c>
      <c r="C15" s="464" t="s">
        <v>298</v>
      </c>
      <c r="D15" s="465">
        <v>374</v>
      </c>
      <c r="E15" s="466"/>
      <c r="F15" s="481"/>
    </row>
    <row r="16" spans="1:6" ht="18">
      <c r="A16" s="463">
        <v>113</v>
      </c>
      <c r="B16" s="464" t="s">
        <v>297</v>
      </c>
      <c r="C16" s="464" t="s">
        <v>298</v>
      </c>
      <c r="D16" s="465">
        <v>381</v>
      </c>
      <c r="E16" s="466"/>
      <c r="F16" s="481"/>
    </row>
    <row r="17" spans="1:6" ht="18">
      <c r="A17" s="463">
        <v>114</v>
      </c>
      <c r="B17" s="464" t="s">
        <v>297</v>
      </c>
      <c r="C17" s="464" t="s">
        <v>298</v>
      </c>
      <c r="D17" s="465">
        <v>380</v>
      </c>
      <c r="E17" s="466"/>
      <c r="F17" s="481"/>
    </row>
    <row r="18" spans="1:6" ht="18">
      <c r="A18" s="463">
        <v>115</v>
      </c>
      <c r="B18" s="464" t="s">
        <v>297</v>
      </c>
      <c r="C18" s="464" t="s">
        <v>298</v>
      </c>
      <c r="D18" s="465">
        <v>297</v>
      </c>
      <c r="E18" s="466"/>
      <c r="F18" s="481"/>
    </row>
    <row r="19" spans="1:6" ht="18">
      <c r="A19" s="463">
        <v>116</v>
      </c>
      <c r="B19" s="464" t="s">
        <v>297</v>
      </c>
      <c r="C19" s="464" t="s">
        <v>298</v>
      </c>
      <c r="D19" s="465">
        <v>296</v>
      </c>
      <c r="E19" s="466"/>
      <c r="F19" s="481"/>
    </row>
    <row r="20" spans="1:6" ht="18">
      <c r="A20" s="463">
        <v>117</v>
      </c>
      <c r="B20" s="464" t="s">
        <v>297</v>
      </c>
      <c r="C20" s="464" t="s">
        <v>298</v>
      </c>
      <c r="D20" s="465">
        <v>380</v>
      </c>
      <c r="E20" s="466"/>
      <c r="F20" s="481"/>
    </row>
    <row r="21" spans="1:6" ht="18">
      <c r="A21" s="463">
        <v>118</v>
      </c>
      <c r="B21" s="464" t="s">
        <v>297</v>
      </c>
      <c r="C21" s="464" t="s">
        <v>298</v>
      </c>
      <c r="D21" s="465">
        <v>380</v>
      </c>
      <c r="E21" s="466" t="s">
        <v>344</v>
      </c>
      <c r="F21" s="481">
        <f>AVERAGE(D15:D22)</f>
        <v>372.125</v>
      </c>
    </row>
    <row r="22" spans="1:6" ht="18">
      <c r="A22" s="463">
        <v>119</v>
      </c>
      <c r="B22" s="464" t="s">
        <v>297</v>
      </c>
      <c r="C22" s="464" t="s">
        <v>298</v>
      </c>
      <c r="D22" s="465">
        <v>489</v>
      </c>
      <c r="E22" s="466" t="s">
        <v>343</v>
      </c>
      <c r="F22" s="481">
        <f>SUM(D15:D22)</f>
        <v>2977</v>
      </c>
    </row>
    <row r="23" spans="1:4" ht="18">
      <c r="A23" s="487">
        <v>124</v>
      </c>
      <c r="B23" s="490" t="s">
        <v>300</v>
      </c>
      <c r="C23" s="489" t="s">
        <v>284</v>
      </c>
      <c r="D23" s="488">
        <v>254</v>
      </c>
    </row>
    <row r="24" spans="1:4" ht="18">
      <c r="A24" s="487">
        <v>126</v>
      </c>
      <c r="B24" s="488" t="s">
        <v>301</v>
      </c>
      <c r="C24" s="489" t="s">
        <v>284</v>
      </c>
      <c r="D24" s="488">
        <v>232</v>
      </c>
    </row>
    <row r="25" spans="1:4" ht="18">
      <c r="A25" s="487">
        <v>137</v>
      </c>
      <c r="B25" s="490" t="s">
        <v>302</v>
      </c>
      <c r="C25" s="490" t="s">
        <v>298</v>
      </c>
      <c r="D25" s="488">
        <v>66</v>
      </c>
    </row>
    <row r="26" spans="1:4" ht="18">
      <c r="A26" s="487">
        <v>138</v>
      </c>
      <c r="B26" s="490" t="s">
        <v>302</v>
      </c>
      <c r="C26" s="490" t="s">
        <v>298</v>
      </c>
      <c r="D26" s="488">
        <v>65</v>
      </c>
    </row>
    <row r="27" spans="1:4" ht="18">
      <c r="A27" s="487">
        <v>159</v>
      </c>
      <c r="B27" s="488" t="s">
        <v>303</v>
      </c>
      <c r="C27" s="489" t="s">
        <v>284</v>
      </c>
      <c r="D27" s="488">
        <v>113</v>
      </c>
    </row>
    <row r="28" spans="1:6" ht="18">
      <c r="A28" s="471">
        <v>201</v>
      </c>
      <c r="B28" s="472" t="s">
        <v>304</v>
      </c>
      <c r="C28" s="473" t="s">
        <v>286</v>
      </c>
      <c r="D28" s="472">
        <v>543</v>
      </c>
      <c r="E28" s="474"/>
      <c r="F28" s="482"/>
    </row>
    <row r="29" spans="1:6" ht="18">
      <c r="A29" s="471">
        <v>202</v>
      </c>
      <c r="B29" s="472" t="s">
        <v>305</v>
      </c>
      <c r="C29" s="473" t="s">
        <v>286</v>
      </c>
      <c r="D29" s="472">
        <v>647</v>
      </c>
      <c r="E29" s="474"/>
      <c r="F29" s="482"/>
    </row>
    <row r="30" spans="1:6" ht="18">
      <c r="A30" s="471">
        <v>203</v>
      </c>
      <c r="B30" s="472" t="s">
        <v>306</v>
      </c>
      <c r="C30" s="473" t="s">
        <v>286</v>
      </c>
      <c r="D30" s="472">
        <v>647</v>
      </c>
      <c r="E30" s="474"/>
      <c r="F30" s="482"/>
    </row>
    <row r="31" spans="1:6" ht="18">
      <c r="A31" s="471">
        <v>204</v>
      </c>
      <c r="B31" s="472" t="s">
        <v>307</v>
      </c>
      <c r="C31" s="473" t="s">
        <v>286</v>
      </c>
      <c r="D31" s="472">
        <v>647</v>
      </c>
      <c r="E31" s="474"/>
      <c r="F31" s="482"/>
    </row>
    <row r="32" spans="1:6" ht="18">
      <c r="A32" s="471">
        <v>205</v>
      </c>
      <c r="B32" s="472" t="s">
        <v>308</v>
      </c>
      <c r="C32" s="473" t="s">
        <v>286</v>
      </c>
      <c r="D32" s="472">
        <v>615</v>
      </c>
      <c r="E32" s="474"/>
      <c r="F32" s="482"/>
    </row>
    <row r="33" spans="1:6" ht="18">
      <c r="A33" s="471">
        <v>206</v>
      </c>
      <c r="B33" s="472" t="s">
        <v>309</v>
      </c>
      <c r="C33" s="473" t="s">
        <v>286</v>
      </c>
      <c r="D33" s="472">
        <v>615</v>
      </c>
      <c r="E33" s="474"/>
      <c r="F33" s="482"/>
    </row>
    <row r="34" spans="1:6" ht="18">
      <c r="A34" s="471">
        <v>207</v>
      </c>
      <c r="B34" s="472" t="s">
        <v>310</v>
      </c>
      <c r="C34" s="473" t="s">
        <v>286</v>
      </c>
      <c r="D34" s="472">
        <v>647</v>
      </c>
      <c r="E34" s="474"/>
      <c r="F34" s="482"/>
    </row>
    <row r="35" spans="1:6" ht="18">
      <c r="A35" s="471">
        <v>208</v>
      </c>
      <c r="B35" s="472" t="s">
        <v>311</v>
      </c>
      <c r="C35" s="473" t="s">
        <v>286</v>
      </c>
      <c r="D35" s="472">
        <v>647</v>
      </c>
      <c r="E35" s="474"/>
      <c r="F35" s="482"/>
    </row>
    <row r="36" spans="1:6" ht="18">
      <c r="A36" s="471">
        <v>209</v>
      </c>
      <c r="B36" s="472" t="s">
        <v>299</v>
      </c>
      <c r="C36" s="473" t="s">
        <v>286</v>
      </c>
      <c r="D36" s="472">
        <v>647</v>
      </c>
      <c r="E36" s="474"/>
      <c r="F36" s="482"/>
    </row>
    <row r="37" spans="1:6" ht="18">
      <c r="A37" s="471">
        <v>210</v>
      </c>
      <c r="B37" s="472" t="s">
        <v>312</v>
      </c>
      <c r="C37" s="473" t="s">
        <v>286</v>
      </c>
      <c r="D37" s="472">
        <v>543</v>
      </c>
      <c r="E37" s="474"/>
      <c r="F37" s="482"/>
    </row>
    <row r="38" spans="1:6" ht="18">
      <c r="A38" s="471">
        <v>211</v>
      </c>
      <c r="B38" s="472" t="s">
        <v>313</v>
      </c>
      <c r="C38" s="473" t="s">
        <v>286</v>
      </c>
      <c r="D38" s="472">
        <v>543</v>
      </c>
      <c r="E38" s="474"/>
      <c r="F38" s="482"/>
    </row>
    <row r="39" spans="1:6" ht="18">
      <c r="A39" s="471">
        <v>212</v>
      </c>
      <c r="B39" s="472" t="s">
        <v>314</v>
      </c>
      <c r="C39" s="473" t="s">
        <v>286</v>
      </c>
      <c r="D39" s="472">
        <v>647</v>
      </c>
      <c r="E39" s="474"/>
      <c r="F39" s="482"/>
    </row>
    <row r="40" spans="1:6" ht="18">
      <c r="A40" s="471">
        <v>213</v>
      </c>
      <c r="B40" s="472" t="s">
        <v>315</v>
      </c>
      <c r="C40" s="473" t="s">
        <v>286</v>
      </c>
      <c r="D40" s="472">
        <v>647</v>
      </c>
      <c r="E40" s="474"/>
      <c r="F40" s="482"/>
    </row>
    <row r="41" spans="1:6" ht="18">
      <c r="A41" s="471">
        <v>214</v>
      </c>
      <c r="B41" s="472" t="s">
        <v>316</v>
      </c>
      <c r="C41" s="473" t="s">
        <v>286</v>
      </c>
      <c r="D41" s="472">
        <v>647</v>
      </c>
      <c r="E41" s="474"/>
      <c r="F41" s="482"/>
    </row>
    <row r="42" spans="1:6" ht="18">
      <c r="A42" s="471">
        <v>215</v>
      </c>
      <c r="B42" s="472" t="s">
        <v>317</v>
      </c>
      <c r="C42" s="473" t="s">
        <v>286</v>
      </c>
      <c r="D42" s="472">
        <v>610</v>
      </c>
      <c r="E42" s="474"/>
      <c r="F42" s="482"/>
    </row>
    <row r="43" spans="1:6" ht="18">
      <c r="A43" s="471">
        <v>216</v>
      </c>
      <c r="B43" s="472" t="s">
        <v>318</v>
      </c>
      <c r="C43" s="473" t="s">
        <v>286</v>
      </c>
      <c r="D43" s="472">
        <v>610</v>
      </c>
      <c r="E43" s="474"/>
      <c r="F43" s="482"/>
    </row>
    <row r="44" spans="1:6" ht="18">
      <c r="A44" s="471">
        <v>217</v>
      </c>
      <c r="B44" s="472" t="s">
        <v>319</v>
      </c>
      <c r="C44" s="473" t="s">
        <v>286</v>
      </c>
      <c r="D44" s="472">
        <v>647</v>
      </c>
      <c r="E44" s="474"/>
      <c r="F44" s="482"/>
    </row>
    <row r="45" spans="1:6" ht="18">
      <c r="A45" s="471">
        <v>218</v>
      </c>
      <c r="B45" s="472" t="s">
        <v>320</v>
      </c>
      <c r="C45" s="473" t="s">
        <v>286</v>
      </c>
      <c r="D45" s="472">
        <v>647</v>
      </c>
      <c r="E45" s="474"/>
      <c r="F45" s="482"/>
    </row>
    <row r="46" spans="1:6" ht="51">
      <c r="A46" s="471">
        <v>219</v>
      </c>
      <c r="B46" s="472" t="s">
        <v>321</v>
      </c>
      <c r="C46" s="473" t="s">
        <v>286</v>
      </c>
      <c r="D46" s="472">
        <v>647</v>
      </c>
      <c r="E46" s="474" t="s">
        <v>348</v>
      </c>
      <c r="F46" s="482">
        <f>AVERAGE(D28:D47)</f>
        <v>619.3</v>
      </c>
    </row>
    <row r="47" spans="1:6" ht="33.75">
      <c r="A47" s="471">
        <v>220</v>
      </c>
      <c r="B47" s="472" t="s">
        <v>322</v>
      </c>
      <c r="C47" s="473" t="s">
        <v>286</v>
      </c>
      <c r="D47" s="472">
        <v>543</v>
      </c>
      <c r="E47" s="474" t="s">
        <v>349</v>
      </c>
      <c r="F47" s="482">
        <f>SUM(D28:D47)</f>
        <v>12386</v>
      </c>
    </row>
    <row r="48" spans="1:6" ht="18">
      <c r="A48" s="475">
        <v>301</v>
      </c>
      <c r="B48" s="476" t="s">
        <v>323</v>
      </c>
      <c r="C48" s="477" t="s">
        <v>286</v>
      </c>
      <c r="D48" s="476">
        <v>543</v>
      </c>
      <c r="E48" s="478"/>
      <c r="F48" s="483"/>
    </row>
    <row r="49" spans="1:6" ht="18">
      <c r="A49" s="475">
        <v>302</v>
      </c>
      <c r="B49" s="476" t="s">
        <v>324</v>
      </c>
      <c r="C49" s="477" t="s">
        <v>286</v>
      </c>
      <c r="D49" s="476">
        <v>647</v>
      </c>
      <c r="E49" s="478"/>
      <c r="F49" s="483"/>
    </row>
    <row r="50" spans="1:6" ht="18">
      <c r="A50" s="475">
        <v>303</v>
      </c>
      <c r="B50" s="476" t="s">
        <v>325</v>
      </c>
      <c r="C50" s="477" t="s">
        <v>286</v>
      </c>
      <c r="D50" s="476">
        <v>647</v>
      </c>
      <c r="E50" s="478"/>
      <c r="F50" s="483"/>
    </row>
    <row r="51" spans="1:6" ht="18">
      <c r="A51" s="475">
        <v>304</v>
      </c>
      <c r="B51" s="476" t="s">
        <v>326</v>
      </c>
      <c r="C51" s="477" t="s">
        <v>286</v>
      </c>
      <c r="D51" s="476">
        <v>647</v>
      </c>
      <c r="E51" s="478"/>
      <c r="F51" s="483"/>
    </row>
    <row r="52" spans="1:6" ht="18">
      <c r="A52" s="475">
        <v>305</v>
      </c>
      <c r="B52" s="476" t="s">
        <v>327</v>
      </c>
      <c r="C52" s="477" t="s">
        <v>286</v>
      </c>
      <c r="D52" s="476">
        <v>615</v>
      </c>
      <c r="E52" s="478"/>
      <c r="F52" s="483"/>
    </row>
    <row r="53" spans="1:6" ht="18">
      <c r="A53" s="475">
        <v>306</v>
      </c>
      <c r="B53" s="476" t="s">
        <v>328</v>
      </c>
      <c r="C53" s="477" t="s">
        <v>286</v>
      </c>
      <c r="D53" s="476">
        <v>615</v>
      </c>
      <c r="E53" s="478"/>
      <c r="F53" s="483"/>
    </row>
    <row r="54" spans="1:6" ht="18">
      <c r="A54" s="475">
        <v>307</v>
      </c>
      <c r="B54" s="476" t="s">
        <v>329</v>
      </c>
      <c r="C54" s="477" t="s">
        <v>286</v>
      </c>
      <c r="D54" s="476">
        <v>647</v>
      </c>
      <c r="E54" s="478"/>
      <c r="F54" s="483"/>
    </row>
    <row r="55" spans="1:6" ht="18">
      <c r="A55" s="475">
        <v>308</v>
      </c>
      <c r="B55" s="476" t="s">
        <v>330</v>
      </c>
      <c r="C55" s="477" t="s">
        <v>286</v>
      </c>
      <c r="D55" s="476">
        <v>647</v>
      </c>
      <c r="E55" s="478"/>
      <c r="F55" s="483"/>
    </row>
    <row r="56" spans="1:6" ht="18">
      <c r="A56" s="475">
        <v>309</v>
      </c>
      <c r="B56" s="476" t="s">
        <v>331</v>
      </c>
      <c r="C56" s="477" t="s">
        <v>286</v>
      </c>
      <c r="D56" s="476">
        <v>647</v>
      </c>
      <c r="E56" s="478"/>
      <c r="F56" s="483"/>
    </row>
    <row r="57" spans="1:6" ht="18">
      <c r="A57" s="475">
        <v>310</v>
      </c>
      <c r="B57" s="476" t="s">
        <v>332</v>
      </c>
      <c r="C57" s="477" t="s">
        <v>286</v>
      </c>
      <c r="D57" s="476">
        <v>543</v>
      </c>
      <c r="E57" s="478"/>
      <c r="F57" s="483"/>
    </row>
    <row r="58" spans="1:6" ht="18">
      <c r="A58" s="475">
        <v>311</v>
      </c>
      <c r="B58" s="476" t="s">
        <v>333</v>
      </c>
      <c r="C58" s="477" t="s">
        <v>286</v>
      </c>
      <c r="D58" s="476">
        <v>543</v>
      </c>
      <c r="E58" s="478"/>
      <c r="F58" s="483"/>
    </row>
    <row r="59" spans="1:6" ht="18">
      <c r="A59" s="475">
        <v>312</v>
      </c>
      <c r="B59" s="476" t="s">
        <v>334</v>
      </c>
      <c r="C59" s="477" t="s">
        <v>286</v>
      </c>
      <c r="D59" s="476">
        <v>647</v>
      </c>
      <c r="E59" s="478"/>
      <c r="F59" s="483"/>
    </row>
    <row r="60" spans="1:6" ht="18">
      <c r="A60" s="475">
        <v>313</v>
      </c>
      <c r="B60" s="476" t="s">
        <v>335</v>
      </c>
      <c r="C60" s="477" t="s">
        <v>286</v>
      </c>
      <c r="D60" s="476">
        <v>647</v>
      </c>
      <c r="E60" s="478"/>
      <c r="F60" s="483"/>
    </row>
    <row r="61" spans="1:6" ht="18">
      <c r="A61" s="475">
        <v>314</v>
      </c>
      <c r="B61" s="476" t="s">
        <v>336</v>
      </c>
      <c r="C61" s="477" t="s">
        <v>286</v>
      </c>
      <c r="D61" s="476">
        <v>647</v>
      </c>
      <c r="E61" s="478"/>
      <c r="F61" s="483"/>
    </row>
    <row r="62" spans="1:6" ht="18">
      <c r="A62" s="475">
        <v>315</v>
      </c>
      <c r="B62" s="476" t="s">
        <v>337</v>
      </c>
      <c r="C62" s="477" t="s">
        <v>286</v>
      </c>
      <c r="D62" s="476">
        <v>610</v>
      </c>
      <c r="E62" s="478"/>
      <c r="F62" s="483"/>
    </row>
    <row r="63" spans="1:6" ht="18">
      <c r="A63" s="475">
        <v>316</v>
      </c>
      <c r="B63" s="476" t="s">
        <v>338</v>
      </c>
      <c r="C63" s="477" t="s">
        <v>286</v>
      </c>
      <c r="D63" s="476">
        <v>610</v>
      </c>
      <c r="E63" s="478"/>
      <c r="F63" s="483"/>
    </row>
    <row r="64" spans="1:6" ht="18">
      <c r="A64" s="475">
        <v>317</v>
      </c>
      <c r="B64" s="476" t="s">
        <v>339</v>
      </c>
      <c r="C64" s="477" t="s">
        <v>286</v>
      </c>
      <c r="D64" s="476">
        <v>647</v>
      </c>
      <c r="E64" s="478"/>
      <c r="F64" s="483"/>
    </row>
    <row r="65" spans="1:6" ht="18">
      <c r="A65" s="475">
        <v>318</v>
      </c>
      <c r="B65" s="476" t="s">
        <v>340</v>
      </c>
      <c r="C65" s="477" t="s">
        <v>286</v>
      </c>
      <c r="D65" s="476">
        <v>647</v>
      </c>
      <c r="E65" s="478"/>
      <c r="F65" s="483"/>
    </row>
    <row r="66" spans="1:8" ht="51">
      <c r="A66" s="475">
        <v>319</v>
      </c>
      <c r="B66" s="476" t="s">
        <v>341</v>
      </c>
      <c r="C66" s="477" t="s">
        <v>286</v>
      </c>
      <c r="D66" s="476">
        <v>647</v>
      </c>
      <c r="E66" s="478" t="s">
        <v>350</v>
      </c>
      <c r="F66" s="483">
        <f>AVERAGE(D48:D67)</f>
        <v>619.3</v>
      </c>
      <c r="G66" s="484" t="s">
        <v>352</v>
      </c>
      <c r="H66" s="485">
        <f>AVERAGE(D28:D67,D4:D12)</f>
        <v>638.0612244897959</v>
      </c>
    </row>
    <row r="67" spans="1:8" ht="51">
      <c r="A67" s="475">
        <v>320</v>
      </c>
      <c r="B67" s="476" t="s">
        <v>342</v>
      </c>
      <c r="C67" s="477" t="s">
        <v>286</v>
      </c>
      <c r="D67" s="476">
        <v>543</v>
      </c>
      <c r="E67" s="478" t="s">
        <v>351</v>
      </c>
      <c r="F67" s="483">
        <f>SUM(D48:D67)</f>
        <v>12386</v>
      </c>
      <c r="G67" s="484" t="s">
        <v>353</v>
      </c>
      <c r="H67" s="485">
        <f>SUM(F12,F47,F67)</f>
        <v>31265</v>
      </c>
    </row>
    <row r="69" spans="3:5" ht="16.5">
      <c r="C69" s="486" t="s">
        <v>354</v>
      </c>
      <c r="D69" s="485">
        <f>SUM(D3:D67)</f>
        <v>35914</v>
      </c>
      <c r="E69" t="s">
        <v>356</v>
      </c>
    </row>
    <row r="70" spans="3:4" ht="19.5" customHeight="1">
      <c r="C70" s="486" t="s">
        <v>355</v>
      </c>
      <c r="D70" s="485">
        <f>SUM(D4:D12,D15:D22,D28:D67)</f>
        <v>34242</v>
      </c>
    </row>
  </sheetData>
  <sheetProtection/>
  <mergeCells count="1">
    <mergeCell ref="A1:F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Microsoft Office User</cp:lastModifiedBy>
  <cp:lastPrinted>2019-12-12T17:49:10Z</cp:lastPrinted>
  <dcterms:created xsi:type="dcterms:W3CDTF">2015-11-17T18:36:13Z</dcterms:created>
  <dcterms:modified xsi:type="dcterms:W3CDTF">2020-12-21T23:45:47Z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