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20400" windowHeight="12090" activeTab="0"/>
  </bookViews>
  <sheets>
    <sheet name="Soft Costs 2" sheetId="1" r:id="rId1"/>
    <sheet name="Proforma 2" sheetId="2" r:id="rId2"/>
  </sheets>
  <definedNames>
    <definedName name="Beg_Bal_3">#REF!</definedName>
    <definedName name="Extra_Pay_3">#REF!</definedName>
    <definedName name="Int_3">#REF!</definedName>
    <definedName name="Interest_Rate_3">#REF!</definedName>
    <definedName name="Last_Row_3">IF(#NAME?,#NAME?+#NAME?,#NAME?)</definedName>
    <definedName name="Loan_Amount_3">#REF!</definedName>
    <definedName name="Loan_Start_3">#REF!</definedName>
    <definedName name="Loan_Years_3">#REF!</definedName>
    <definedName name="Num_Pmt_Per_Year_3">#REF!</definedName>
    <definedName name="Number_of_Payments_3">MATCH(0.01,#NAME?,-1)+1</definedName>
    <definedName name="Pay_Num_3">#REF!</definedName>
    <definedName name="Princ_3">#REF!</definedName>
    <definedName name="Sched_Pay_3">#REF!</definedName>
    <definedName name="Scheduled_Extra_Payments_3">#REF!</definedName>
    <definedName name="Scheduled_Monthly_Payment_3">#REF!</definedName>
    <definedName name="Total_Pay_3">#REF!</definedName>
    <definedName name="Values_Entered_3">IF(#NAME?*#NAME?*#NAME?*#NAME?&gt;0,1,0)</definedName>
  </definedNames>
  <calcPr fullCalcOnLoad="1"/>
</workbook>
</file>

<file path=xl/sharedStrings.xml><?xml version="1.0" encoding="utf-8"?>
<sst xmlns="http://schemas.openxmlformats.org/spreadsheetml/2006/main" count="288" uniqueCount="218">
  <si>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</si>
  <si>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</si>
  <si>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</si>
  <si>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</si>
  <si>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</si>
  <si>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</si>
  <si>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</si>
  <si>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</si>
  <si>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</si>
  <si>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</si>
  <si>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</si>
  <si>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</si>
  <si>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</si>
  <si>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</si>
  <si>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</si>
  <si>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</si>
  <si>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</si>
  <si>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</si>
  <si>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</si>
  <si>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</si>
  <si>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</si>
  <si>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Appraisal</t>
  </si>
  <si>
    <t>Geotechnical Report</t>
  </si>
  <si>
    <t>Environmental Studies</t>
  </si>
  <si>
    <t>Traffic Study</t>
  </si>
  <si>
    <t>Market Study</t>
  </si>
  <si>
    <t>Total</t>
  </si>
  <si>
    <t>Architecture &amp; Engineering Fees:</t>
  </si>
  <si>
    <t>Architecture/Engineering Services*</t>
  </si>
  <si>
    <t>Construction Phase Services</t>
  </si>
  <si>
    <t>Incl.</t>
  </si>
  <si>
    <t>Geotechnical Inspections</t>
  </si>
  <si>
    <t>in Pre-Dev</t>
  </si>
  <si>
    <t>LEED Consultants</t>
  </si>
  <si>
    <t>Construction Testing &amp; Inspection</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</si>
  <si>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</si>
  <si>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</si>
  <si>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</si>
  <si>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</si>
  <si>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</si>
  <si>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</si>
  <si>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</si>
  <si>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</si>
  <si>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</si>
  <si>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</si>
  <si>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</si>
  <si>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</si>
  <si>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</si>
  <si>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</si>
  <si>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</si>
  <si>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</si>
  <si>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</si>
  <si>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</si>
  <si>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</si>
  <si>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</si>
  <si>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</si>
  <si>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</si>
  <si>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</si>
  <si>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</si>
  <si>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t>http://www.portlandtransportation.org/SystemDevelopmentCharge/Rates.htm</t>
  </si>
  <si>
    <t>PDOT SDC Fees</t>
  </si>
  <si>
    <t>Per commercial sq. ft.</t>
  </si>
  <si>
    <t>sq. ft</t>
  </si>
  <si>
    <t>http://www.portlandparks.org/Planning/SystemDevCharge.htm</t>
  </si>
  <si>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</si>
  <si>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</si>
  <si>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</si>
  <si>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</si>
  <si>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</si>
  <si>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</si>
  <si>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</si>
  <si>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</si>
  <si>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</si>
  <si>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</si>
  <si>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Loan Fee</t>
  </si>
  <si>
    <t>of construction loan</t>
  </si>
  <si>
    <t>Lender's Costs</t>
  </si>
  <si>
    <t>Construction Period Interest (Annual Debt Service)</t>
  </si>
  <si>
    <t>Lender's Monitoring Costs</t>
  </si>
  <si>
    <t>Permanent Financing Fees &amp; Costs:</t>
  </si>
  <si>
    <t>Loan Fees</t>
  </si>
  <si>
    <t>Operating Reserve</t>
  </si>
  <si>
    <t>Leasing/Promotional Costs:</t>
  </si>
  <si>
    <t>Advertising &amp; Marketing</t>
  </si>
  <si>
    <t>Openings/Events</t>
  </si>
  <si>
    <t>Pre-Leasing Costs</t>
  </si>
  <si>
    <t>Leasing Salaries/Commissions</t>
  </si>
  <si>
    <t>Model Apts/Leasing Office Expenses</t>
  </si>
  <si>
    <t>Soft Cost Total</t>
  </si>
  <si>
    <t>TOTAL DEVELOPMENT COSTS</t>
  </si>
  <si>
    <t>PROJECT FACTS:</t>
  </si>
  <si>
    <t>Site Area</t>
  </si>
  <si>
    <t>Interest Rate</t>
  </si>
  <si>
    <t>Project Value</t>
  </si>
  <si>
    <t>GROSS BUILDING AREA</t>
  </si>
  <si>
    <t>TOTAL NET LEASABLE</t>
  </si>
  <si>
    <t>Overall Efficiency</t>
  </si>
  <si>
    <t>sq.ft./mth</t>
  </si>
  <si>
    <t>Parking Spaces</t>
  </si>
  <si>
    <t>(-) Development Fee</t>
  </si>
  <si>
    <t>NET OPERATING INCOME</t>
  </si>
  <si>
    <t>(-) MORTGAGE</t>
  </si>
  <si>
    <t>NET CASH FLOW</t>
  </si>
  <si>
    <t>Ownership Breakdown</t>
  </si>
  <si>
    <t>Investment</t>
  </si>
  <si>
    <t>ownership</t>
  </si>
  <si>
    <t>YR 1</t>
  </si>
  <si>
    <t>YR 2</t>
  </si>
  <si>
    <t>YR 3</t>
  </si>
  <si>
    <t>YR 4</t>
  </si>
  <si>
    <t>YR 5</t>
  </si>
  <si>
    <t>YR 6</t>
  </si>
  <si>
    <t>YR 7</t>
  </si>
  <si>
    <t>YR 9</t>
  </si>
  <si>
    <t>OPERATING PRO FORMA (PER YEAR)</t>
  </si>
  <si>
    <t>Total Gross Rents</t>
  </si>
  <si>
    <t>(-) Fire Insurance - Commercial</t>
  </si>
  <si>
    <t>NOI</t>
  </si>
  <si>
    <t>Debt Service</t>
  </si>
  <si>
    <t>(-) Taxes - Commercial</t>
  </si>
  <si>
    <t>RETURN ON INVESTMENT</t>
  </si>
  <si>
    <t>Combined DCR</t>
  </si>
  <si>
    <t>(-) Management</t>
  </si>
  <si>
    <t>Total Expenses</t>
  </si>
  <si>
    <t>TOTAL EQUITY</t>
  </si>
  <si>
    <t>…per sq. ft.</t>
  </si>
  <si>
    <t>10 yr IRR</t>
  </si>
  <si>
    <t>(-) Repairs &amp; Maintenance</t>
  </si>
  <si>
    <t>(-) Replacement Reserves</t>
  </si>
  <si>
    <t>(-) Architecture Equity</t>
  </si>
  <si>
    <t>Total Tenants</t>
  </si>
  <si>
    <t>Revenue (3% escalator)</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</si>
  <si>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</si>
  <si>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</si>
  <si>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</si>
  <si>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GAP</t>
  </si>
  <si>
    <t>Estimate</t>
  </si>
  <si>
    <t>-</t>
  </si>
  <si>
    <t>(-) Vacancy</t>
  </si>
  <si>
    <t>Site Survey/As-Builts</t>
  </si>
  <si>
    <t>Long-Term Owner</t>
  </si>
  <si>
    <t>YR 0</t>
  </si>
  <si>
    <t>Year 1 Operating Loss/(based on Yr 0 carrying costs)</t>
  </si>
  <si>
    <t>NET REFI/SALES PROCEEDS</t>
  </si>
  <si>
    <t>LOAN BALANCE(S)</t>
  </si>
  <si>
    <t>THIS PROFORMA PREPARED BY MANAGER DOES NOT TAKE INTO ACCOUNT OR MAKE ANY PROVISION FOR ANY CHANGE IN LOCAL OR GENERAL ECONOMIC CONDITIONS, OR INCREASES IN REDEVELOPMENT COSTS OR THE AFFECTS OF ANY DELAYS IN COMMENCING</t>
  </si>
  <si>
    <t>Closing Costs</t>
  </si>
  <si>
    <t>Development Period Property Taxes and Utilities</t>
  </si>
  <si>
    <t>INITIAL VALUE</t>
  </si>
  <si>
    <t>(-) Water and Sewer</t>
  </si>
  <si>
    <t>(-) Trash</t>
  </si>
  <si>
    <t>(-) Common Area Utilities (electricity)</t>
  </si>
  <si>
    <t>LTV</t>
  </si>
  <si>
    <t>(-) YR 0 Cash Flow/Deposits</t>
  </si>
  <si>
    <t>Seller Interest Payments</t>
  </si>
  <si>
    <t>incl</t>
  </si>
  <si>
    <t>(-) Bud Carry-Back</t>
  </si>
  <si>
    <t>proceeds from Refinance</t>
  </si>
  <si>
    <t>Studio Mega</t>
  </si>
  <si>
    <t>Gross  Retail Income</t>
  </si>
  <si>
    <t>Gross Office Income</t>
  </si>
  <si>
    <t>(-) Admin Fees</t>
  </si>
  <si>
    <t>PROJECT APPRECIATION at 4%</t>
  </si>
  <si>
    <t>Gross Mega Income</t>
  </si>
  <si>
    <t>(-) Seller Carry-Back - 2nd Position</t>
  </si>
  <si>
    <t>YR 10</t>
  </si>
  <si>
    <t>(-) Janitorial</t>
  </si>
  <si>
    <t>8% return to begin September 1st, 2018.  Verify.</t>
  </si>
  <si>
    <t>Expenses (2% escalator)</t>
  </si>
  <si>
    <t>Mega Rent/s.f. NNN</t>
  </si>
  <si>
    <t>Gross Mega NNN Reimbursables</t>
  </si>
  <si>
    <t>Amount to pay down Wes/Badger</t>
  </si>
  <si>
    <t>$5.27 = NNCC</t>
  </si>
  <si>
    <t>Bikes</t>
  </si>
  <si>
    <t>Trash</t>
  </si>
  <si>
    <t>Factory North</t>
  </si>
  <si>
    <t>Smith and Conners</t>
  </si>
  <si>
    <t>Casework</t>
  </si>
  <si>
    <t>Toilets</t>
  </si>
  <si>
    <t>included</t>
  </si>
  <si>
    <t>SOURCES AND USES</t>
  </si>
  <si>
    <t xml:space="preserve">PERMANENT FINANCING ASSUMPTIONS </t>
  </si>
  <si>
    <t>DCR</t>
  </si>
  <si>
    <t>Loan Amount</t>
  </si>
  <si>
    <t>Term (Years)</t>
  </si>
  <si>
    <t>Debt-Coverage Ratio</t>
  </si>
  <si>
    <t>Loan-to-Value</t>
  </si>
  <si>
    <t>Stabilized NOI</t>
  </si>
  <si>
    <t>CAP Rate</t>
  </si>
  <si>
    <t>Supportable Mortgage</t>
  </si>
  <si>
    <t>Supportable Debt Service</t>
  </si>
  <si>
    <t>Value per Square Foot</t>
  </si>
  <si>
    <t>Atrium Salon</t>
  </si>
  <si>
    <t>Oregon Bark</t>
  </si>
  <si>
    <t>Color Theory</t>
  </si>
  <si>
    <t>Kate's Ice Cream</t>
  </si>
  <si>
    <t>Phlewid</t>
  </si>
  <si>
    <t>Funnelbox</t>
  </si>
  <si>
    <t>Mega NNNs</t>
  </si>
  <si>
    <t>Retail Rent/ s.f. GROSS</t>
  </si>
  <si>
    <t>Maker Rent/s.f. GROSS</t>
  </si>
  <si>
    <t>Office Rent/s.f. GROSS</t>
  </si>
  <si>
    <t>Gross Maker Income</t>
  </si>
  <si>
    <t>Closing Costs and Loan Fees</t>
  </si>
  <si>
    <t>8% Preferred</t>
  </si>
  <si>
    <t>TOTAL DEBT</t>
  </si>
  <si>
    <t>Back-Interest due to Badger + Wes</t>
  </si>
  <si>
    <t>10% Preferred</t>
  </si>
  <si>
    <t>Total distribution years 1-7</t>
  </si>
  <si>
    <t>Total distribution years 1-8, then it kicks back to the flat 8% return</t>
  </si>
  <si>
    <t>Final year interest to be 24%</t>
  </si>
  <si>
    <t>NOTE:  AMEND OPERATING AGREEMENT DISTRIBUTION SCHEDULE PER THIS PRO FORMA!</t>
  </si>
  <si>
    <t>(-) 1st Position Loan - Riverview</t>
  </si>
  <si>
    <t>75% LTV Refinance</t>
  </si>
  <si>
    <t>YR 8</t>
  </si>
  <si>
    <t>Back-distributions owed to Wes</t>
  </si>
  <si>
    <t>Pioneer Lavada Jones</t>
  </si>
  <si>
    <t>Investor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</si>
</sst>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mm\ d&quot;, &quot;yyyy;@"/>
    <numFmt numFmtId="167" formatCode="\$#,##0.00_);[Red]&quot;($&quot;#,##0.00\)"/>
    <numFmt numFmtId="168" formatCode="0.0%"/>
    <numFmt numFmtId="169" formatCode="mmmm\ d&quot;, &quot;yyyy"/>
    <numFmt numFmtId="170" formatCode="\$#,##0"/>
    <numFmt numFmtId="171" formatCode="\$#,##0_);[Red]&quot;($&quot;#,##0\)"/>
    <numFmt numFmtId="172" formatCode="0.000%"/>
    <numFmt numFmtId="173" formatCode="\$#,##0.00"/>
    <numFmt numFmtId="174" formatCode="_(* #,##0.00_);_(* \(#,##0.00\);_(* \-??_);_(@_)"/>
    <numFmt numFmtId="175" formatCode="\$#,##0_);&quot;($&quot;#,##0\)"/>
    <numFmt numFmtId="176" formatCode="_(\$* #,##0_);_(\$* \(#,##0\);_(\$* \-_);_(@_)"/>
    <numFmt numFmtId="177" formatCode="\$#,##0.000_);[Red]&quot;($&quot;#,##0.000\)"/>
    <numFmt numFmtId="178" formatCode="[$$-409]#,##0;[Red]\-[$$-409]#,##0"/>
    <numFmt numFmtId="179" formatCode="_(* #,##0_);_(* \(#,##0\);_(* \-_);_(@_)"/>
    <numFmt numFmtId="180" formatCode="0.00_);\(0.00\)"/>
    <numFmt numFmtId="181" formatCode="0_);[Red]\(0\)"/>
    <numFmt numFmtId="182" formatCode="0.00?%_)"/>
    <numFmt numFmtId="183" formatCode="0_)"/>
    <numFmt numFmtId="184" formatCode="_(* #,##0.0_);_(* \(#,##0.0\);_(* &quot;-&quot;??_);_(@_)"/>
    <numFmt numFmtId="185" formatCode="_(* #,##0_);_(* \(#,##0\);_(* &quot;-&quot;??_);_(@_)"/>
    <numFmt numFmtId="186" formatCode="_(\$* #,##0.0_);_(\$* \(#,##0.0\);_(\$* \-??_);_(@_)"/>
    <numFmt numFmtId="187" formatCode="[$-409]dddd\,\ mmmm\ dd\,\ yyyy"/>
    <numFmt numFmtId="188" formatCode="[$-409]h:mm:ss\ AM/PM"/>
    <numFmt numFmtId="189" formatCode="0.000"/>
    <numFmt numFmtId="190" formatCode="0.0"/>
    <numFmt numFmtId="191" formatCode="_(* #,##0.0_);_(* \(#,##0.0\);_(* \-??_);_(@_)"/>
    <numFmt numFmtId="192" formatCode="_(* #,##0_);_(* \(#,##0\);_(* \-??_);_(@_)"/>
    <numFmt numFmtId="193" formatCode="_(* #,##0.000_);_(* \(#,##0.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2]\ #,##0.00_);[Red]\([$€-2]\ #,##0.00\)"/>
    <numFmt numFmtId="199" formatCode="&quot;$&quot;#,##0.00"/>
    <numFmt numFmtId="200" formatCode="&quot;$&quot;#,##0.000"/>
    <numFmt numFmtId="201" formatCode="&quot;$&quot;#,##0.0"/>
    <numFmt numFmtId="202" formatCode="&quot;$&quot;#,##0"/>
    <numFmt numFmtId="203" formatCode="0.0_);[Red]\(0.0\)"/>
    <numFmt numFmtId="204" formatCode="\$#,##0.0"/>
    <numFmt numFmtId="205" formatCode="_(* #,##0.0000_);_(* \(#,##0.0000\);_(* &quot;-&quot;????_);_(@_)"/>
    <numFmt numFmtId="206" formatCode="0.00000000"/>
    <numFmt numFmtId="207" formatCode="0.0000000"/>
    <numFmt numFmtId="208" formatCode="0.000000"/>
    <numFmt numFmtId="209" formatCode="0.00000"/>
    <numFmt numFmtId="210" formatCode="0.0000"/>
  </numFmts>
  <fonts count="3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name val="Arial"/>
      <family val="2"/>
    </font>
    <font>
      <b/>
      <sz val="11"/>
      <name val="Arial"/>
      <family val="2"/>
    </font>
    <font>
      <sz val="8"/>
      <name val="Arial"/>
      <family val="2"/>
    </font>
    <font>
      <u val="single"/>
      <sz val="10"/>
      <color indexed="12"/>
      <name val="Arial"/>
      <family val="2"/>
    </font>
    <font>
      <b/>
      <sz val="14"/>
      <color indexed="8"/>
      <name val="Arial"/>
      <family val="2"/>
    </font>
    <font>
      <b/>
      <sz val="10"/>
      <color indexed="8"/>
      <name val="Arial"/>
      <family val="2"/>
    </font>
    <font>
      <b/>
      <u val="single"/>
      <sz val="10"/>
      <name val="Arial"/>
      <family val="2"/>
    </font>
    <font>
      <b/>
      <sz val="14"/>
      <name val="Arial"/>
      <family val="2"/>
    </font>
    <font>
      <u val="single"/>
      <sz val="8"/>
      <color indexed="20"/>
      <name val="Arial"/>
      <family val="2"/>
    </font>
    <font>
      <u val="single"/>
      <sz val="10"/>
      <color indexed="63"/>
      <name val="Arial"/>
      <family val="2"/>
    </font>
    <font>
      <sz val="10"/>
      <color indexed="63"/>
      <name val="Arial"/>
      <family val="2"/>
    </font>
    <font>
      <u val="single"/>
      <sz val="8"/>
      <color theme="11"/>
      <name val="Arial"/>
      <family val="2"/>
    </font>
    <font>
      <u val="single"/>
      <sz val="10"/>
      <color rgb="FF222222"/>
      <name val="Arial"/>
      <family val="2"/>
    </font>
    <font>
      <sz val="10"/>
      <color rgb="FF22222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C000"/>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4" fontId="0" fillId="0" borderId="0" applyFill="0" applyBorder="0" applyAlignment="0" applyProtection="0"/>
    <xf numFmtId="41" fontId="0" fillId="0" borderId="0" applyFont="0" applyFill="0" applyBorder="0" applyAlignment="0" applyProtection="0"/>
    <xf numFmtId="164" fontId="0" fillId="0" borderId="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19">
    <xf numFmtId="0" fontId="0" fillId="0" borderId="0" xfId="0" applyAlignment="1">
      <alignment/>
    </xf>
    <xf numFmtId="165" fontId="0" fillId="0" borderId="0" xfId="44" applyNumberFormat="1" applyFont="1" applyFill="1" applyBorder="1" applyAlignment="1" applyProtection="1">
      <alignment/>
      <protection/>
    </xf>
    <xf numFmtId="0" fontId="0" fillId="0" borderId="10" xfId="0" applyBorder="1" applyAlignment="1">
      <alignment/>
    </xf>
    <xf numFmtId="0" fontId="0" fillId="0" borderId="0" xfId="0" applyBorder="1" applyAlignment="1">
      <alignment/>
    </xf>
    <xf numFmtId="165" fontId="0" fillId="0" borderId="11" xfId="44" applyNumberFormat="1" applyFont="1" applyFill="1" applyBorder="1" applyAlignment="1" applyProtection="1">
      <alignment/>
      <protection/>
    </xf>
    <xf numFmtId="0" fontId="20" fillId="0" borderId="10" xfId="58" applyFont="1" applyFill="1" applyBorder="1" applyAlignment="1">
      <alignment horizontal="left" vertical="center"/>
      <protection/>
    </xf>
    <xf numFmtId="0" fontId="20" fillId="0" borderId="0" xfId="58" applyFont="1" applyFill="1" applyBorder="1" applyAlignment="1">
      <alignment horizontal="left" vertical="center"/>
      <protection/>
    </xf>
    <xf numFmtId="167" fontId="21" fillId="0" borderId="0" xfId="44" applyNumberFormat="1" applyFont="1" applyFill="1" applyBorder="1" applyAlignment="1" applyProtection="1">
      <alignment/>
      <protection/>
    </xf>
    <xf numFmtId="165" fontId="20" fillId="24" borderId="12" xfId="44" applyNumberFormat="1" applyFont="1" applyFill="1" applyBorder="1" applyAlignment="1" applyProtection="1">
      <alignment/>
      <protection/>
    </xf>
    <xf numFmtId="0" fontId="20" fillId="20" borderId="13" xfId="58" applyFont="1" applyFill="1" applyBorder="1">
      <alignment/>
      <protection/>
    </xf>
    <xf numFmtId="0" fontId="20" fillId="20" borderId="14" xfId="58" applyFont="1" applyFill="1" applyBorder="1">
      <alignment/>
      <protection/>
    </xf>
    <xf numFmtId="0" fontId="0" fillId="0" borderId="15" xfId="0" applyBorder="1" applyAlignment="1">
      <alignment/>
    </xf>
    <xf numFmtId="165" fontId="0" fillId="0" borderId="15" xfId="44" applyNumberFormat="1" applyFont="1" applyFill="1" applyBorder="1" applyAlignment="1" applyProtection="1">
      <alignment/>
      <protection/>
    </xf>
    <xf numFmtId="165" fontId="0" fillId="0" borderId="16" xfId="44" applyNumberFormat="1" applyFont="1" applyFill="1" applyBorder="1" applyAlignment="1" applyProtection="1">
      <alignment/>
      <protection/>
    </xf>
    <xf numFmtId="0" fontId="20" fillId="0" borderId="10" xfId="58" applyFont="1" applyFill="1" applyBorder="1" applyAlignment="1">
      <alignment vertical="center"/>
      <protection/>
    </xf>
    <xf numFmtId="0" fontId="0" fillId="0" borderId="0" xfId="58" applyFont="1" applyBorder="1">
      <alignment/>
      <protection/>
    </xf>
    <xf numFmtId="164" fontId="0" fillId="0" borderId="0" xfId="44" applyFont="1" applyFill="1" applyBorder="1" applyAlignment="1" applyProtection="1">
      <alignment/>
      <protection/>
    </xf>
    <xf numFmtId="168" fontId="0" fillId="0" borderId="0" xfId="61" applyNumberFormat="1" applyFont="1" applyFill="1" applyBorder="1" applyAlignment="1" applyProtection="1">
      <alignment/>
      <protection/>
    </xf>
    <xf numFmtId="0" fontId="20" fillId="20" borderId="0" xfId="58" applyFont="1" applyFill="1" applyBorder="1">
      <alignment/>
      <protection/>
    </xf>
    <xf numFmtId="168" fontId="20" fillId="20" borderId="0" xfId="61" applyNumberFormat="1" applyFont="1" applyFill="1" applyBorder="1" applyAlignment="1" applyProtection="1">
      <alignment/>
      <protection/>
    </xf>
    <xf numFmtId="0" fontId="20" fillId="20" borderId="0" xfId="0" applyFont="1" applyFill="1" applyBorder="1" applyAlignment="1">
      <alignment/>
    </xf>
    <xf numFmtId="165" fontId="20" fillId="20" borderId="0" xfId="44" applyNumberFormat="1" applyFont="1" applyFill="1" applyBorder="1" applyAlignment="1" applyProtection="1">
      <alignment/>
      <protection/>
    </xf>
    <xf numFmtId="0" fontId="0" fillId="20" borderId="0" xfId="58" applyFont="1" applyFill="1" applyBorder="1">
      <alignment/>
      <protection/>
    </xf>
    <xf numFmtId="168" fontId="0" fillId="20" borderId="0" xfId="61" applyNumberFormat="1" applyFont="1" applyFill="1" applyBorder="1" applyAlignment="1" applyProtection="1">
      <alignment/>
      <protection/>
    </xf>
    <xf numFmtId="0" fontId="0" fillId="20" borderId="0" xfId="0" applyFill="1" applyBorder="1" applyAlignment="1">
      <alignment/>
    </xf>
    <xf numFmtId="165" fontId="0" fillId="20" borderId="0" xfId="44" applyNumberFormat="1" applyFont="1" applyFill="1" applyBorder="1" applyAlignment="1" applyProtection="1">
      <alignment/>
      <protection/>
    </xf>
    <xf numFmtId="0" fontId="0" fillId="0" borderId="10" xfId="58" applyFont="1" applyBorder="1">
      <alignment/>
      <protection/>
    </xf>
    <xf numFmtId="0" fontId="20" fillId="0" borderId="0" xfId="58" applyFont="1" applyBorder="1" applyAlignment="1">
      <alignment horizontal="right"/>
      <protection/>
    </xf>
    <xf numFmtId="165" fontId="20" fillId="24" borderId="17" xfId="44" applyNumberFormat="1" applyFont="1" applyFill="1" applyBorder="1" applyAlignment="1" applyProtection="1">
      <alignment/>
      <protection/>
    </xf>
    <xf numFmtId="0" fontId="20" fillId="0" borderId="10" xfId="58" applyFont="1" applyBorder="1">
      <alignment/>
      <protection/>
    </xf>
    <xf numFmtId="10" fontId="0" fillId="0" borderId="0" xfId="0" applyNumberFormat="1" applyBorder="1" applyAlignment="1">
      <alignment/>
    </xf>
    <xf numFmtId="0" fontId="0" fillId="20" borderId="15" xfId="0" applyFill="1" applyBorder="1" applyAlignment="1">
      <alignment/>
    </xf>
    <xf numFmtId="168" fontId="0" fillId="20" borderId="0" xfId="0" applyNumberFormat="1" applyFill="1" applyBorder="1" applyAlignment="1">
      <alignment/>
    </xf>
    <xf numFmtId="0" fontId="22" fillId="0" borderId="0" xfId="58" applyFont="1" applyBorder="1">
      <alignment/>
      <protection/>
    </xf>
    <xf numFmtId="0" fontId="20" fillId="0" borderId="10" xfId="58" applyFont="1" applyFill="1" applyBorder="1">
      <alignment/>
      <protection/>
    </xf>
    <xf numFmtId="0" fontId="0" fillId="0" borderId="0" xfId="58" applyFont="1" applyFill="1" applyBorder="1">
      <alignment/>
      <protection/>
    </xf>
    <xf numFmtId="9" fontId="0" fillId="20" borderId="0" xfId="61" applyNumberFormat="1" applyFont="1" applyFill="1" applyBorder="1" applyAlignment="1" applyProtection="1">
      <alignment/>
      <protection/>
    </xf>
    <xf numFmtId="9" fontId="0" fillId="20" borderId="0" xfId="0" applyNumberFormat="1" applyFill="1" applyBorder="1" applyAlignment="1">
      <alignment/>
    </xf>
    <xf numFmtId="0" fontId="0" fillId="0" borderId="18" xfId="58" applyFont="1" applyBorder="1">
      <alignment/>
      <protection/>
    </xf>
    <xf numFmtId="0" fontId="20" fillId="0" borderId="19" xfId="58" applyFont="1" applyBorder="1" applyAlignment="1">
      <alignment horizontal="right"/>
      <protection/>
    </xf>
    <xf numFmtId="0" fontId="20" fillId="0" borderId="20" xfId="58" applyFont="1" applyBorder="1">
      <alignment/>
      <protection/>
    </xf>
    <xf numFmtId="0" fontId="0" fillId="0" borderId="20" xfId="0" applyBorder="1" applyAlignment="1">
      <alignment/>
    </xf>
    <xf numFmtId="165" fontId="0" fillId="0" borderId="20" xfId="44" applyNumberFormat="1" applyFont="1" applyFill="1" applyBorder="1" applyAlignment="1" applyProtection="1">
      <alignment/>
      <protection/>
    </xf>
    <xf numFmtId="165" fontId="0" fillId="0" borderId="21" xfId="44" applyNumberFormat="1" applyFont="1" applyFill="1" applyBorder="1" applyAlignment="1" applyProtection="1">
      <alignment/>
      <protection/>
    </xf>
    <xf numFmtId="0" fontId="20" fillId="0" borderId="22" xfId="58" applyFont="1" applyBorder="1">
      <alignment/>
      <protection/>
    </xf>
    <xf numFmtId="0" fontId="20" fillId="0" borderId="23" xfId="58" applyFont="1" applyBorder="1">
      <alignment/>
      <protection/>
    </xf>
    <xf numFmtId="0" fontId="0" fillId="0" borderId="23" xfId="0" applyBorder="1" applyAlignment="1">
      <alignment/>
    </xf>
    <xf numFmtId="165" fontId="0" fillId="0" borderId="23" xfId="44" applyNumberFormat="1" applyFont="1" applyFill="1" applyBorder="1" applyAlignment="1" applyProtection="1">
      <alignment/>
      <protection/>
    </xf>
    <xf numFmtId="165" fontId="0" fillId="0" borderId="24" xfId="44" applyNumberFormat="1" applyFont="1" applyFill="1" applyBorder="1" applyAlignment="1" applyProtection="1">
      <alignment/>
      <protection/>
    </xf>
    <xf numFmtId="165" fontId="0" fillId="0" borderId="25" xfId="44" applyNumberFormat="1" applyFont="1" applyFill="1" applyBorder="1" applyAlignment="1" applyProtection="1">
      <alignment/>
      <protection/>
    </xf>
    <xf numFmtId="10" fontId="0" fillId="0" borderId="0" xfId="61" applyNumberFormat="1" applyFont="1" applyFill="1" applyBorder="1" applyAlignment="1" applyProtection="1">
      <alignment/>
      <protection/>
    </xf>
    <xf numFmtId="0" fontId="0" fillId="0" borderId="0" xfId="0" applyFill="1" applyBorder="1" applyAlignment="1">
      <alignment/>
    </xf>
    <xf numFmtId="0" fontId="23" fillId="0" borderId="10" xfId="53" applyNumberFormat="1" applyFont="1" applyFill="1" applyBorder="1" applyAlignment="1" applyProtection="1">
      <alignment/>
      <protection/>
    </xf>
    <xf numFmtId="0" fontId="20" fillId="0" borderId="0" xfId="58" applyFont="1" applyBorder="1">
      <alignment/>
      <protection/>
    </xf>
    <xf numFmtId="3" fontId="0" fillId="0" borderId="0" xfId="0" applyNumberFormat="1" applyBorder="1" applyAlignment="1">
      <alignment/>
    </xf>
    <xf numFmtId="0" fontId="23" fillId="0" borderId="0" xfId="53" applyNumberFormat="1" applyFont="1" applyFill="1" applyBorder="1" applyAlignment="1" applyProtection="1">
      <alignment/>
      <protection/>
    </xf>
    <xf numFmtId="0" fontId="0" fillId="20" borderId="14" xfId="58" applyFont="1" applyFill="1" applyBorder="1">
      <alignment/>
      <protection/>
    </xf>
    <xf numFmtId="0" fontId="20" fillId="0" borderId="26" xfId="58" applyFont="1" applyBorder="1">
      <alignment/>
      <protection/>
    </xf>
    <xf numFmtId="0" fontId="20" fillId="0" borderId="20" xfId="58" applyFont="1" applyBorder="1" applyAlignment="1">
      <alignment horizontal="right"/>
      <protection/>
    </xf>
    <xf numFmtId="0" fontId="20" fillId="20" borderId="27" xfId="58" applyFont="1" applyFill="1" applyBorder="1">
      <alignment/>
      <protection/>
    </xf>
    <xf numFmtId="0" fontId="20" fillId="20" borderId="28" xfId="58" applyFont="1" applyFill="1" applyBorder="1">
      <alignment/>
      <protection/>
    </xf>
    <xf numFmtId="0" fontId="0" fillId="0" borderId="29" xfId="0" applyBorder="1" applyAlignment="1">
      <alignment/>
    </xf>
    <xf numFmtId="165" fontId="0" fillId="0" borderId="29" xfId="44" applyNumberFormat="1" applyFont="1" applyFill="1" applyBorder="1" applyAlignment="1" applyProtection="1">
      <alignment/>
      <protection/>
    </xf>
    <xf numFmtId="165" fontId="0" fillId="0" borderId="30" xfId="44" applyNumberFormat="1" applyFont="1" applyFill="1" applyBorder="1" applyAlignment="1" applyProtection="1">
      <alignment/>
      <protection/>
    </xf>
    <xf numFmtId="0" fontId="0" fillId="0" borderId="26" xfId="58" applyFont="1" applyBorder="1">
      <alignment/>
      <protection/>
    </xf>
    <xf numFmtId="0" fontId="20" fillId="0" borderId="13" xfId="58" applyFont="1" applyBorder="1">
      <alignment/>
      <protection/>
    </xf>
    <xf numFmtId="0" fontId="20" fillId="0" borderId="15" xfId="58" applyFont="1" applyBorder="1">
      <alignment/>
      <protection/>
    </xf>
    <xf numFmtId="165" fontId="20" fillId="20" borderId="25" xfId="44" applyNumberFormat="1" applyFont="1" applyFill="1" applyBorder="1" applyAlignment="1" applyProtection="1">
      <alignment/>
      <protection/>
    </xf>
    <xf numFmtId="0" fontId="21" fillId="20" borderId="31" xfId="58" applyFont="1" applyFill="1" applyBorder="1" applyAlignment="1">
      <alignment horizontal="left"/>
      <protection/>
    </xf>
    <xf numFmtId="0" fontId="20" fillId="20" borderId="32" xfId="58" applyFont="1" applyFill="1" applyBorder="1">
      <alignment/>
      <protection/>
    </xf>
    <xf numFmtId="0" fontId="0" fillId="0" borderId="32" xfId="0" applyBorder="1" applyAlignment="1">
      <alignment/>
    </xf>
    <xf numFmtId="165" fontId="0" fillId="0" borderId="32" xfId="44" applyNumberFormat="1" applyFont="1" applyFill="1" applyBorder="1" applyAlignment="1" applyProtection="1">
      <alignment/>
      <protection/>
    </xf>
    <xf numFmtId="165" fontId="21" fillId="24" borderId="33" xfId="44" applyNumberFormat="1" applyFont="1" applyFill="1" applyBorder="1" applyAlignment="1" applyProtection="1">
      <alignment/>
      <protection/>
    </xf>
    <xf numFmtId="0" fontId="24" fillId="0" borderId="10" xfId="0" applyFont="1" applyFill="1" applyBorder="1" applyAlignment="1">
      <alignment horizontal="center"/>
    </xf>
    <xf numFmtId="0" fontId="24" fillId="0" borderId="0" xfId="0" applyFont="1" applyFill="1" applyBorder="1" applyAlignment="1">
      <alignment horizontal="center"/>
    </xf>
    <xf numFmtId="0" fontId="25" fillId="0" borderId="11" xfId="0" applyFont="1" applyBorder="1" applyAlignment="1">
      <alignment horizontal="center"/>
    </xf>
    <xf numFmtId="0" fontId="0" fillId="0" borderId="34" xfId="0" applyFont="1" applyBorder="1" applyAlignment="1">
      <alignment/>
    </xf>
    <xf numFmtId="0" fontId="0" fillId="0" borderId="35" xfId="0" applyBorder="1" applyAlignment="1">
      <alignment/>
    </xf>
    <xf numFmtId="0" fontId="0" fillId="0" borderId="35" xfId="0" applyBorder="1" applyAlignment="1">
      <alignment horizontal="right"/>
    </xf>
    <xf numFmtId="3" fontId="0" fillId="0" borderId="36" xfId="0" applyNumberFormat="1" applyBorder="1" applyAlignment="1">
      <alignment horizontal="right"/>
    </xf>
    <xf numFmtId="37" fontId="0" fillId="0" borderId="0" xfId="57" applyNumberFormat="1" applyFont="1" applyFill="1" applyBorder="1" applyProtection="1">
      <alignment/>
      <protection/>
    </xf>
    <xf numFmtId="0" fontId="0" fillId="0" borderId="19" xfId="0" applyBorder="1" applyAlignment="1">
      <alignment/>
    </xf>
    <xf numFmtId="0" fontId="0" fillId="0" borderId="19" xfId="0" applyBorder="1" applyAlignment="1">
      <alignment horizontal="right"/>
    </xf>
    <xf numFmtId="0" fontId="0" fillId="0" borderId="37" xfId="0" applyFont="1" applyBorder="1" applyAlignment="1">
      <alignment/>
    </xf>
    <xf numFmtId="37" fontId="20" fillId="0" borderId="0" xfId="57" applyNumberFormat="1" applyFont="1" applyFill="1" applyBorder="1" applyProtection="1">
      <alignment/>
      <protection/>
    </xf>
    <xf numFmtId="0" fontId="26" fillId="0" borderId="0" xfId="0" applyFont="1" applyFill="1" applyBorder="1" applyAlignment="1">
      <alignment/>
    </xf>
    <xf numFmtId="0" fontId="20" fillId="0" borderId="0" xfId="0" applyFont="1" applyFill="1" applyBorder="1" applyAlignment="1">
      <alignment/>
    </xf>
    <xf numFmtId="9" fontId="0" fillId="0" borderId="0" xfId="61" applyFont="1" applyFill="1" applyBorder="1" applyAlignment="1" applyProtection="1">
      <alignment horizontal="right"/>
      <protection/>
    </xf>
    <xf numFmtId="3" fontId="0" fillId="0" borderId="38" xfId="0" applyNumberFormat="1" applyBorder="1" applyAlignment="1">
      <alignment horizontal="right"/>
    </xf>
    <xf numFmtId="0" fontId="0" fillId="0" borderId="38" xfId="0" applyBorder="1" applyAlignment="1">
      <alignment horizontal="right"/>
    </xf>
    <xf numFmtId="0" fontId="20" fillId="0" borderId="37" xfId="0" applyFont="1" applyBorder="1" applyAlignment="1">
      <alignment/>
    </xf>
    <xf numFmtId="0" fontId="20" fillId="0" borderId="0" xfId="0" applyFont="1" applyBorder="1" applyAlignment="1">
      <alignment/>
    </xf>
    <xf numFmtId="0" fontId="0" fillId="0" borderId="37" xfId="0" applyFont="1" applyFill="1" applyBorder="1" applyAlignment="1">
      <alignment/>
    </xf>
    <xf numFmtId="171" fontId="20" fillId="0" borderId="0" xfId="0" applyNumberFormat="1" applyFont="1" applyFill="1" applyBorder="1" applyAlignment="1">
      <alignment horizontal="center"/>
    </xf>
    <xf numFmtId="0" fontId="0" fillId="0" borderId="37" xfId="0" applyFont="1" applyBorder="1" applyAlignment="1">
      <alignment horizontal="right"/>
    </xf>
    <xf numFmtId="0" fontId="20" fillId="0" borderId="39" xfId="0" applyFont="1" applyBorder="1" applyAlignment="1">
      <alignment/>
    </xf>
    <xf numFmtId="171" fontId="20" fillId="0" borderId="40" xfId="0" applyNumberFormat="1" applyFont="1" applyBorder="1" applyAlignment="1">
      <alignment horizontal="right"/>
    </xf>
    <xf numFmtId="0" fontId="0" fillId="0" borderId="0" xfId="0" applyFill="1" applyBorder="1" applyAlignment="1">
      <alignment wrapText="1"/>
    </xf>
    <xf numFmtId="9" fontId="0" fillId="0" borderId="0" xfId="61" applyFont="1" applyFill="1" applyBorder="1" applyAlignment="1" applyProtection="1">
      <alignment horizontal="left"/>
      <protection/>
    </xf>
    <xf numFmtId="0" fontId="0" fillId="0" borderId="0" xfId="0" applyFont="1" applyBorder="1" applyAlignment="1">
      <alignment horizontal="right"/>
    </xf>
    <xf numFmtId="0" fontId="20" fillId="20" borderId="37" xfId="0" applyFont="1" applyFill="1" applyBorder="1" applyAlignment="1">
      <alignment wrapText="1"/>
    </xf>
    <xf numFmtId="173" fontId="20" fillId="20" borderId="0" xfId="44" applyNumberFormat="1" applyFont="1" applyFill="1" applyBorder="1" applyAlignment="1" applyProtection="1">
      <alignment wrapText="1"/>
      <protection/>
    </xf>
    <xf numFmtId="164" fontId="20" fillId="20" borderId="0" xfId="44" applyFont="1" applyFill="1" applyBorder="1" applyAlignment="1" applyProtection="1">
      <alignment horizontal="right"/>
      <protection/>
    </xf>
    <xf numFmtId="171" fontId="20" fillId="20" borderId="38" xfId="0" applyNumberFormat="1" applyFont="1" applyFill="1" applyBorder="1" applyAlignment="1">
      <alignment horizontal="right"/>
    </xf>
    <xf numFmtId="165" fontId="20" fillId="20" borderId="0" xfId="0" applyNumberFormat="1" applyFont="1" applyFill="1" applyBorder="1" applyAlignment="1">
      <alignment wrapText="1"/>
    </xf>
    <xf numFmtId="164" fontId="20" fillId="20" borderId="0" xfId="44" applyFont="1" applyFill="1" applyBorder="1" applyAlignment="1" applyProtection="1">
      <alignment horizontal="left"/>
      <protection/>
    </xf>
    <xf numFmtId="0" fontId="0" fillId="20" borderId="0" xfId="0" applyFill="1" applyAlignment="1">
      <alignment/>
    </xf>
    <xf numFmtId="175" fontId="20" fillId="20" borderId="0" xfId="44" applyNumberFormat="1" applyFont="1" applyFill="1" applyBorder="1" applyAlignment="1" applyProtection="1">
      <alignment horizontal="right"/>
      <protection/>
    </xf>
    <xf numFmtId="9" fontId="20" fillId="20" borderId="38" xfId="0" applyNumberFormat="1" applyFont="1" applyFill="1" applyBorder="1" applyAlignment="1">
      <alignment horizontal="right"/>
    </xf>
    <xf numFmtId="168" fontId="20" fillId="0" borderId="0" xfId="0" applyNumberFormat="1" applyFont="1" applyAlignment="1">
      <alignment/>
    </xf>
    <xf numFmtId="38" fontId="20" fillId="20" borderId="0" xfId="44" applyNumberFormat="1" applyFont="1" applyFill="1" applyBorder="1" applyAlignment="1" applyProtection="1">
      <alignment/>
      <protection/>
    </xf>
    <xf numFmtId="0" fontId="20" fillId="20" borderId="38" xfId="44" applyNumberFormat="1" applyFont="1" applyFill="1" applyBorder="1" applyAlignment="1" applyProtection="1">
      <alignment horizontal="right"/>
      <protection/>
    </xf>
    <xf numFmtId="171" fontId="0" fillId="0" borderId="36" xfId="42" applyNumberFormat="1" applyFont="1" applyFill="1" applyBorder="1" applyAlignment="1" applyProtection="1">
      <alignment horizontal="right"/>
      <protection/>
    </xf>
    <xf numFmtId="171" fontId="0" fillId="0" borderId="38" xfId="42" applyNumberFormat="1" applyFont="1" applyFill="1" applyBorder="1" applyAlignment="1" applyProtection="1">
      <alignment horizontal="right"/>
      <protection/>
    </xf>
    <xf numFmtId="171" fontId="0" fillId="0" borderId="38" xfId="42" applyNumberFormat="1" applyFont="1" applyFill="1" applyBorder="1" applyAlignment="1" applyProtection="1">
      <alignment/>
      <protection/>
    </xf>
    <xf numFmtId="0" fontId="20" fillId="20" borderId="37" xfId="0" applyFont="1" applyFill="1" applyBorder="1" applyAlignment="1">
      <alignment/>
    </xf>
    <xf numFmtId="176" fontId="20" fillId="20" borderId="38" xfId="0" applyNumberFormat="1" applyFont="1" applyFill="1" applyBorder="1" applyAlignment="1">
      <alignment horizontal="right"/>
    </xf>
    <xf numFmtId="0" fontId="20" fillId="0" borderId="0" xfId="0" applyFont="1" applyAlignment="1">
      <alignment horizontal="right"/>
    </xf>
    <xf numFmtId="0" fontId="20" fillId="20" borderId="0" xfId="0" applyFont="1" applyFill="1" applyBorder="1" applyAlignment="1">
      <alignment horizontal="right"/>
    </xf>
    <xf numFmtId="175" fontId="20" fillId="20" borderId="38" xfId="0" applyNumberFormat="1" applyFont="1" applyFill="1" applyBorder="1" applyAlignment="1">
      <alignment horizontal="right"/>
    </xf>
    <xf numFmtId="177" fontId="0" fillId="0" borderId="38" xfId="0" applyNumberFormat="1" applyBorder="1" applyAlignment="1">
      <alignment horizontal="right"/>
    </xf>
    <xf numFmtId="9" fontId="0" fillId="0" borderId="0" xfId="0" applyNumberFormat="1" applyBorder="1" applyAlignment="1">
      <alignment/>
    </xf>
    <xf numFmtId="178" fontId="0" fillId="0" borderId="0" xfId="0" applyNumberFormat="1" applyFont="1" applyAlignment="1">
      <alignment/>
    </xf>
    <xf numFmtId="0" fontId="20" fillId="0" borderId="34" xfId="0" applyFont="1" applyBorder="1" applyAlignment="1">
      <alignment/>
    </xf>
    <xf numFmtId="171" fontId="0" fillId="0" borderId="38" xfId="0" applyNumberFormat="1" applyBorder="1" applyAlignment="1">
      <alignment/>
    </xf>
    <xf numFmtId="171" fontId="0" fillId="0" borderId="0" xfId="0" applyNumberFormat="1" applyBorder="1" applyAlignment="1">
      <alignment/>
    </xf>
    <xf numFmtId="0" fontId="20" fillId="0" borderId="0" xfId="0" applyFont="1" applyAlignment="1">
      <alignment/>
    </xf>
    <xf numFmtId="0" fontId="20" fillId="20" borderId="41" xfId="0" applyFont="1" applyFill="1" applyBorder="1" applyAlignment="1">
      <alignment/>
    </xf>
    <xf numFmtId="0" fontId="20" fillId="20" borderId="42" xfId="0" applyFont="1" applyFill="1" applyBorder="1" applyAlignment="1">
      <alignment/>
    </xf>
    <xf numFmtId="171" fontId="20" fillId="20" borderId="43" xfId="42" applyNumberFormat="1" applyFont="1" applyFill="1" applyBorder="1" applyAlignment="1" applyProtection="1">
      <alignment horizontal="right"/>
      <protection/>
    </xf>
    <xf numFmtId="10" fontId="20" fillId="0" borderId="0" xfId="0" applyNumberFormat="1" applyFont="1" applyAlignment="1">
      <alignment/>
    </xf>
    <xf numFmtId="168" fontId="0" fillId="0" borderId="20" xfId="0" applyNumberFormat="1" applyBorder="1" applyAlignment="1">
      <alignment horizontal="right"/>
    </xf>
    <xf numFmtId="0" fontId="20" fillId="0" borderId="36" xfId="0" applyFont="1" applyBorder="1" applyAlignment="1">
      <alignment/>
    </xf>
    <xf numFmtId="167" fontId="0" fillId="0" borderId="0" xfId="0" applyNumberFormat="1" applyBorder="1" applyAlignment="1">
      <alignment/>
    </xf>
    <xf numFmtId="0" fontId="20" fillId="24" borderId="44" xfId="0" applyFont="1" applyFill="1" applyBorder="1" applyAlignment="1">
      <alignment horizontal="center"/>
    </xf>
    <xf numFmtId="171" fontId="20" fillId="24" borderId="44" xfId="0" applyNumberFormat="1" applyFont="1" applyFill="1" applyBorder="1" applyAlignment="1">
      <alignment horizontal="center"/>
    </xf>
    <xf numFmtId="0" fontId="0" fillId="0" borderId="39" xfId="0" applyBorder="1" applyAlignment="1">
      <alignment/>
    </xf>
    <xf numFmtId="0" fontId="0" fillId="0" borderId="45" xfId="0" applyBorder="1" applyAlignment="1">
      <alignment horizontal="center"/>
    </xf>
    <xf numFmtId="0" fontId="26" fillId="20" borderId="15" xfId="0" applyFont="1" applyFill="1" applyBorder="1" applyAlignment="1">
      <alignment horizontal="center"/>
    </xf>
    <xf numFmtId="0" fontId="26" fillId="20" borderId="14" xfId="0" applyFont="1" applyFill="1" applyBorder="1" applyAlignment="1">
      <alignment horizontal="center"/>
    </xf>
    <xf numFmtId="37" fontId="0" fillId="0" borderId="0" xfId="0" applyNumberFormat="1" applyFill="1" applyBorder="1" applyAlignment="1">
      <alignment/>
    </xf>
    <xf numFmtId="0" fontId="20" fillId="0" borderId="41" xfId="0" applyFont="1" applyBorder="1" applyAlignment="1">
      <alignment/>
    </xf>
    <xf numFmtId="0" fontId="20" fillId="0" borderId="42" xfId="0" applyFont="1" applyBorder="1" applyAlignment="1">
      <alignment/>
    </xf>
    <xf numFmtId="168" fontId="0" fillId="0" borderId="40" xfId="61" applyNumberFormat="1" applyFont="1" applyFill="1" applyBorder="1" applyAlignment="1" applyProtection="1">
      <alignment/>
      <protection/>
    </xf>
    <xf numFmtId="0" fontId="20" fillId="0" borderId="46" xfId="0" applyFont="1" applyBorder="1" applyAlignment="1">
      <alignment horizontal="left"/>
    </xf>
    <xf numFmtId="168" fontId="20" fillId="0" borderId="34" xfId="0" applyNumberFormat="1" applyFont="1" applyBorder="1" applyAlignment="1">
      <alignment horizontal="right"/>
    </xf>
    <xf numFmtId="168" fontId="20" fillId="0" borderId="36" xfId="0" applyNumberFormat="1" applyFont="1" applyBorder="1" applyAlignment="1">
      <alignment horizontal="right"/>
    </xf>
    <xf numFmtId="168" fontId="20" fillId="0" borderId="45" xfId="0" applyNumberFormat="1" applyFont="1" applyBorder="1" applyAlignment="1">
      <alignment horizontal="right"/>
    </xf>
    <xf numFmtId="0" fontId="0" fillId="0" borderId="0" xfId="0" applyAlignment="1">
      <alignment horizontal="center"/>
    </xf>
    <xf numFmtId="179" fontId="20" fillId="0" borderId="37" xfId="0" applyNumberFormat="1" applyFont="1" applyBorder="1" applyAlignment="1">
      <alignment horizontal="center"/>
    </xf>
    <xf numFmtId="179" fontId="20" fillId="0" borderId="38" xfId="0" applyNumberFormat="1" applyFont="1" applyBorder="1" applyAlignment="1">
      <alignment horizontal="center"/>
    </xf>
    <xf numFmtId="179" fontId="20" fillId="0" borderId="46" xfId="0" applyNumberFormat="1" applyFont="1" applyBorder="1" applyAlignment="1">
      <alignment/>
    </xf>
    <xf numFmtId="39" fontId="0" fillId="0" borderId="0" xfId="0" applyNumberFormat="1" applyAlignment="1">
      <alignment/>
    </xf>
    <xf numFmtId="171" fontId="0" fillId="0" borderId="36" xfId="42" applyNumberFormat="1" applyFont="1" applyFill="1" applyBorder="1" applyAlignment="1" applyProtection="1">
      <alignment horizontal="right" indent="1"/>
      <protection/>
    </xf>
    <xf numFmtId="171" fontId="0" fillId="0" borderId="0" xfId="0" applyNumberFormat="1" applyAlignment="1">
      <alignment/>
    </xf>
    <xf numFmtId="171" fontId="0" fillId="0" borderId="38" xfId="42" applyNumberFormat="1" applyFont="1" applyFill="1" applyBorder="1" applyAlignment="1" applyProtection="1">
      <alignment horizontal="right" indent="1"/>
      <protection/>
    </xf>
    <xf numFmtId="171" fontId="0" fillId="0" borderId="0" xfId="0" applyNumberFormat="1" applyBorder="1" applyAlignment="1">
      <alignment horizontal="right"/>
    </xf>
    <xf numFmtId="9" fontId="0" fillId="0" borderId="0" xfId="0" applyNumberFormat="1" applyBorder="1" applyAlignment="1">
      <alignment horizontal="right"/>
    </xf>
    <xf numFmtId="0" fontId="20" fillId="20" borderId="34" xfId="0" applyFont="1" applyFill="1" applyBorder="1" applyAlignment="1">
      <alignment/>
    </xf>
    <xf numFmtId="37" fontId="0" fillId="20" borderId="34" xfId="0" applyNumberFormat="1" applyFill="1" applyBorder="1" applyAlignment="1">
      <alignment/>
    </xf>
    <xf numFmtId="9" fontId="0" fillId="0" borderId="19" xfId="0" applyNumberFormat="1" applyBorder="1" applyAlignment="1">
      <alignment horizontal="right"/>
    </xf>
    <xf numFmtId="171" fontId="0" fillId="0" borderId="40" xfId="42" applyNumberFormat="1" applyFont="1" applyFill="1" applyBorder="1" applyAlignment="1" applyProtection="1">
      <alignment horizontal="right" indent="1"/>
      <protection/>
    </xf>
    <xf numFmtId="37" fontId="0" fillId="20" borderId="37" xfId="0" applyNumberFormat="1" applyFill="1" applyBorder="1" applyAlignment="1">
      <alignment/>
    </xf>
    <xf numFmtId="37" fontId="0" fillId="20" borderId="46" xfId="0" applyNumberFormat="1" applyFill="1" applyBorder="1" applyAlignment="1">
      <alignment/>
    </xf>
    <xf numFmtId="181" fontId="0" fillId="0" borderId="0" xfId="0" applyNumberFormat="1" applyAlignment="1">
      <alignment horizontal="center"/>
    </xf>
    <xf numFmtId="0" fontId="20" fillId="20" borderId="39" xfId="0" applyFont="1" applyFill="1" applyBorder="1" applyAlignment="1">
      <alignment/>
    </xf>
    <xf numFmtId="37" fontId="0" fillId="20" borderId="39" xfId="0" applyNumberFormat="1" applyFill="1" applyBorder="1" applyAlignment="1">
      <alignment/>
    </xf>
    <xf numFmtId="165" fontId="0" fillId="0" borderId="0" xfId="44" applyNumberFormat="1" applyFont="1" applyFill="1" applyBorder="1" applyAlignment="1" applyProtection="1">
      <alignment horizontal="right"/>
      <protection/>
    </xf>
    <xf numFmtId="0" fontId="0" fillId="0" borderId="0" xfId="0" applyNumberFormat="1" applyAlignment="1">
      <alignment horizontal="right"/>
    </xf>
    <xf numFmtId="168" fontId="0" fillId="20" borderId="47" xfId="0" applyNumberFormat="1" applyFill="1" applyBorder="1" applyAlignment="1">
      <alignment/>
    </xf>
    <xf numFmtId="168" fontId="0" fillId="20" borderId="40" xfId="0" applyNumberFormat="1" applyFill="1" applyBorder="1" applyAlignment="1">
      <alignment/>
    </xf>
    <xf numFmtId="0" fontId="20" fillId="20" borderId="44" xfId="0" applyFont="1" applyFill="1" applyBorder="1" applyAlignment="1">
      <alignment/>
    </xf>
    <xf numFmtId="180" fontId="20" fillId="20" borderId="44" xfId="0" applyNumberFormat="1" applyFont="1" applyFill="1" applyBorder="1" applyAlignment="1">
      <alignment/>
    </xf>
    <xf numFmtId="180" fontId="0" fillId="20" borderId="44" xfId="0" applyNumberFormat="1" applyFill="1" applyBorder="1" applyAlignment="1">
      <alignment/>
    </xf>
    <xf numFmtId="181" fontId="0" fillId="0" borderId="0" xfId="44" applyNumberFormat="1" applyFont="1" applyFill="1" applyBorder="1" applyAlignment="1" applyProtection="1">
      <alignment horizontal="center"/>
      <protection/>
    </xf>
    <xf numFmtId="170" fontId="0" fillId="20" borderId="44" xfId="0" applyNumberFormat="1" applyFill="1" applyBorder="1" applyAlignment="1">
      <alignment/>
    </xf>
    <xf numFmtId="170" fontId="20" fillId="20" borderId="44" xfId="0" applyNumberFormat="1" applyFont="1" applyFill="1" applyBorder="1" applyAlignment="1">
      <alignment/>
    </xf>
    <xf numFmtId="0" fontId="0" fillId="0" borderId="0" xfId="0" applyFont="1" applyAlignment="1">
      <alignment horizontal="right"/>
    </xf>
    <xf numFmtId="0" fontId="20" fillId="20" borderId="46" xfId="0" applyFont="1" applyFill="1" applyBorder="1" applyAlignment="1">
      <alignment/>
    </xf>
    <xf numFmtId="0" fontId="0" fillId="20" borderId="37" xfId="0" applyFill="1" applyBorder="1" applyAlignment="1">
      <alignment/>
    </xf>
    <xf numFmtId="0" fontId="0" fillId="0" borderId="48" xfId="0" applyFont="1" applyBorder="1" applyAlignment="1">
      <alignment/>
    </xf>
    <xf numFmtId="171" fontId="0" fillId="0" borderId="49" xfId="42" applyNumberFormat="1" applyFont="1" applyFill="1" applyBorder="1" applyAlignment="1" applyProtection="1">
      <alignment horizontal="right" indent="1"/>
      <protection/>
    </xf>
    <xf numFmtId="0" fontId="20" fillId="20" borderId="47" xfId="0" applyFont="1" applyFill="1" applyBorder="1" applyAlignment="1">
      <alignment/>
    </xf>
    <xf numFmtId="0" fontId="0" fillId="20" borderId="39" xfId="0" applyFill="1" applyBorder="1" applyAlignment="1">
      <alignment/>
    </xf>
    <xf numFmtId="0" fontId="0" fillId="20" borderId="19" xfId="0" applyFill="1" applyBorder="1" applyAlignment="1">
      <alignment/>
    </xf>
    <xf numFmtId="0" fontId="0" fillId="0" borderId="50" xfId="0" applyFont="1" applyBorder="1" applyAlignment="1">
      <alignment horizontal="right"/>
    </xf>
    <xf numFmtId="0" fontId="0" fillId="0" borderId="42" xfId="0" applyBorder="1" applyAlignment="1">
      <alignment horizontal="right"/>
    </xf>
    <xf numFmtId="168" fontId="0" fillId="0" borderId="42" xfId="0" applyNumberFormat="1" applyFont="1" applyBorder="1" applyAlignment="1">
      <alignment horizontal="right"/>
    </xf>
    <xf numFmtId="171" fontId="0" fillId="0" borderId="51" xfId="42" applyNumberFormat="1" applyFont="1" applyFill="1" applyBorder="1" applyAlignment="1" applyProtection="1">
      <alignment horizontal="right" indent="1"/>
      <protection/>
    </xf>
    <xf numFmtId="168" fontId="20" fillId="0" borderId="0" xfId="0" applyNumberFormat="1" applyFont="1" applyBorder="1" applyAlignment="1">
      <alignment/>
    </xf>
    <xf numFmtId="0" fontId="20" fillId="0" borderId="0" xfId="0" applyFont="1" applyFill="1" applyBorder="1" applyAlignment="1">
      <alignment horizontal="right"/>
    </xf>
    <xf numFmtId="167" fontId="0" fillId="0" borderId="38" xfId="42" applyNumberFormat="1" applyFont="1" applyFill="1" applyBorder="1" applyAlignment="1" applyProtection="1">
      <alignment horizontal="right" indent="1"/>
      <protection/>
    </xf>
    <xf numFmtId="0" fontId="20" fillId="0" borderId="34" xfId="0" applyFont="1" applyBorder="1" applyAlignment="1">
      <alignment horizontal="left"/>
    </xf>
    <xf numFmtId="168" fontId="20" fillId="0" borderId="35" xfId="0" applyNumberFormat="1" applyFont="1" applyBorder="1" applyAlignment="1">
      <alignment/>
    </xf>
    <xf numFmtId="0" fontId="0" fillId="0" borderId="36" xfId="0" applyBorder="1" applyAlignment="1">
      <alignment/>
    </xf>
    <xf numFmtId="38" fontId="0" fillId="0" borderId="37" xfId="0" applyNumberFormat="1" applyBorder="1" applyAlignment="1">
      <alignment/>
    </xf>
    <xf numFmtId="37" fontId="0" fillId="0" borderId="0" xfId="0" applyNumberFormat="1" applyBorder="1" applyAlignment="1">
      <alignment/>
    </xf>
    <xf numFmtId="37" fontId="0" fillId="0" borderId="38" xfId="0" applyNumberFormat="1" applyBorder="1" applyAlignment="1">
      <alignment/>
    </xf>
    <xf numFmtId="0" fontId="20" fillId="0" borderId="42" xfId="0" applyFont="1" applyBorder="1" applyAlignment="1">
      <alignment horizontal="right"/>
    </xf>
    <xf numFmtId="165" fontId="20" fillId="0" borderId="43" xfId="44" applyNumberFormat="1" applyFont="1" applyFill="1" applyBorder="1" applyAlignment="1" applyProtection="1">
      <alignment horizontal="right"/>
      <protection/>
    </xf>
    <xf numFmtId="168" fontId="0" fillId="0" borderId="19" xfId="61" applyNumberFormat="1" applyFont="1" applyFill="1" applyBorder="1" applyAlignment="1" applyProtection="1">
      <alignment/>
      <protection/>
    </xf>
    <xf numFmtId="0" fontId="0" fillId="0" borderId="37" xfId="0" applyFill="1" applyBorder="1" applyAlignment="1">
      <alignment/>
    </xf>
    <xf numFmtId="0" fontId="0" fillId="0" borderId="37" xfId="0" applyBorder="1" applyAlignment="1">
      <alignment/>
    </xf>
    <xf numFmtId="171" fontId="0" fillId="0" borderId="0" xfId="44" applyNumberFormat="1" applyFont="1" applyFill="1" applyBorder="1" applyAlignment="1" applyProtection="1">
      <alignment/>
      <protection/>
    </xf>
    <xf numFmtId="0" fontId="0" fillId="0" borderId="52" xfId="0" applyBorder="1" applyAlignment="1">
      <alignment/>
    </xf>
    <xf numFmtId="0" fontId="0" fillId="0" borderId="52" xfId="0" applyFill="1" applyBorder="1" applyAlignment="1">
      <alignment/>
    </xf>
    <xf numFmtId="171" fontId="0" fillId="0" borderId="53" xfId="42" applyNumberFormat="1" applyFont="1" applyFill="1" applyBorder="1" applyAlignment="1" applyProtection="1">
      <alignment horizontal="right" indent="1"/>
      <protection/>
    </xf>
    <xf numFmtId="3" fontId="0" fillId="0" borderId="53" xfId="0" applyNumberFormat="1" applyBorder="1" applyAlignment="1">
      <alignment horizontal="righ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73" fontId="0" fillId="0" borderId="35" xfId="0" applyNumberFormat="1" applyBorder="1" applyAlignment="1">
      <alignment horizontal="right"/>
    </xf>
    <xf numFmtId="173" fontId="0" fillId="0" borderId="0" xfId="0" applyNumberFormat="1" applyFont="1" applyBorder="1" applyAlignment="1">
      <alignment horizontal="right"/>
    </xf>
    <xf numFmtId="173" fontId="0" fillId="0" borderId="0" xfId="0" applyNumberFormat="1" applyAlignment="1">
      <alignment/>
    </xf>
    <xf numFmtId="173" fontId="0" fillId="0" borderId="0" xfId="0" applyNumberFormat="1" applyBorder="1" applyAlignment="1">
      <alignment/>
    </xf>
    <xf numFmtId="165" fontId="0" fillId="0" borderId="0" xfId="44" applyNumberFormat="1" applyAlignment="1">
      <alignment/>
    </xf>
    <xf numFmtId="168" fontId="20" fillId="24" borderId="57" xfId="0" applyNumberFormat="1" applyFont="1" applyFill="1" applyBorder="1" applyAlignment="1">
      <alignment/>
    </xf>
    <xf numFmtId="165" fontId="0" fillId="0" borderId="0" xfId="0" applyNumberFormat="1" applyAlignment="1">
      <alignment/>
    </xf>
    <xf numFmtId="179" fontId="20" fillId="0" borderId="58" xfId="0" applyNumberFormat="1" applyFont="1" applyBorder="1" applyAlignment="1">
      <alignment horizontal="center"/>
    </xf>
    <xf numFmtId="179" fontId="20" fillId="0" borderId="59" xfId="0" applyNumberFormat="1" applyFont="1" applyBorder="1" applyAlignment="1">
      <alignment horizontal="center"/>
    </xf>
    <xf numFmtId="179" fontId="20" fillId="0" borderId="60" xfId="0" applyNumberFormat="1" applyFont="1" applyBorder="1" applyAlignment="1">
      <alignment/>
    </xf>
    <xf numFmtId="168" fontId="0" fillId="0" borderId="46" xfId="61" applyNumberFormat="1" applyBorder="1" applyAlignment="1">
      <alignment horizontal="left"/>
    </xf>
    <xf numFmtId="168" fontId="0" fillId="0" borderId="60" xfId="61" applyNumberFormat="1" applyBorder="1" applyAlignment="1">
      <alignment horizontal="lef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165" fontId="0" fillId="0" borderId="0" xfId="0" applyNumberFormat="1" applyFill="1" applyAlignment="1">
      <alignment/>
    </xf>
    <xf numFmtId="171" fontId="20" fillId="25" borderId="57" xfId="42" applyNumberFormat="1" applyFont="1" applyFill="1" applyBorder="1" applyAlignment="1" applyProtection="1">
      <alignment horizontal="right"/>
      <protection/>
    </xf>
    <xf numFmtId="168" fontId="20" fillId="24" borderId="65" xfId="0" applyNumberFormat="1" applyFont="1" applyFill="1" applyBorder="1" applyAlignment="1">
      <alignment horizontal="center"/>
    </xf>
    <xf numFmtId="0" fontId="26" fillId="20" borderId="19" xfId="0" applyFont="1" applyFill="1" applyBorder="1" applyAlignment="1">
      <alignment horizontal="center"/>
    </xf>
    <xf numFmtId="0" fontId="0" fillId="0" borderId="0" xfId="0" applyBorder="1" applyAlignment="1">
      <alignment horizontal="right"/>
    </xf>
    <xf numFmtId="165" fontId="0" fillId="0" borderId="0" xfId="0" applyNumberFormat="1" applyFill="1" applyBorder="1" applyAlignment="1">
      <alignment/>
    </xf>
    <xf numFmtId="16" fontId="0" fillId="0" borderId="0" xfId="0" applyNumberFormat="1" applyFill="1" applyBorder="1" applyAlignment="1">
      <alignment/>
    </xf>
    <xf numFmtId="165" fontId="0" fillId="0" borderId="0" xfId="44" applyNumberFormat="1" applyFont="1" applyFill="1" applyBorder="1" applyAlignment="1" applyProtection="1">
      <alignment/>
      <protection/>
    </xf>
    <xf numFmtId="168" fontId="20" fillId="0" borderId="66" xfId="61" applyNumberFormat="1" applyFont="1" applyFill="1" applyBorder="1" applyAlignment="1">
      <alignment/>
    </xf>
    <xf numFmtId="165" fontId="0" fillId="0" borderId="0" xfId="0" applyNumberFormat="1" applyBorder="1" applyAlignment="1">
      <alignment/>
    </xf>
    <xf numFmtId="0" fontId="26" fillId="20" borderId="40" xfId="0" applyFont="1" applyFill="1" applyBorder="1" applyAlignment="1">
      <alignment horizontal="center"/>
    </xf>
    <xf numFmtId="167" fontId="0" fillId="0" borderId="0" xfId="0" applyNumberFormat="1"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58" applyFont="1" applyBorder="1">
      <alignment/>
      <protection/>
    </xf>
    <xf numFmtId="9" fontId="0" fillId="0" borderId="0" xfId="0" applyNumberFormat="1" applyFont="1" applyBorder="1" applyAlignment="1">
      <alignment/>
    </xf>
    <xf numFmtId="168" fontId="0" fillId="0" borderId="0" xfId="61" applyNumberFormat="1" applyAlignment="1">
      <alignment/>
    </xf>
    <xf numFmtId="192" fontId="0" fillId="0" borderId="0" xfId="42" applyNumberFormat="1" applyFill="1" applyBorder="1" applyAlignment="1" applyProtection="1">
      <alignment horizontal="left"/>
      <protection/>
    </xf>
    <xf numFmtId="37" fontId="20" fillId="0" borderId="0" xfId="0" applyNumberFormat="1" applyFont="1" applyFill="1" applyBorder="1" applyAlignment="1">
      <alignment/>
    </xf>
    <xf numFmtId="0" fontId="32" fillId="0" borderId="0" xfId="0" applyFont="1" applyAlignment="1">
      <alignment wrapText="1"/>
    </xf>
    <xf numFmtId="0" fontId="33" fillId="0" borderId="0" xfId="0" applyFont="1" applyAlignment="1">
      <alignment wrapText="1"/>
    </xf>
    <xf numFmtId="202" fontId="0" fillId="0" borderId="0" xfId="0" applyNumberFormat="1" applyAlignment="1">
      <alignment/>
    </xf>
    <xf numFmtId="43" fontId="0" fillId="0" borderId="0" xfId="0" applyNumberFormat="1" applyFill="1" applyBorder="1" applyAlignment="1">
      <alignment/>
    </xf>
    <xf numFmtId="168" fontId="0" fillId="20" borderId="39" xfId="0" applyNumberFormat="1" applyFill="1" applyBorder="1" applyAlignment="1">
      <alignment/>
    </xf>
    <xf numFmtId="180" fontId="0" fillId="20" borderId="65" xfId="0" applyNumberFormat="1" applyFill="1" applyBorder="1" applyAlignment="1">
      <alignment/>
    </xf>
    <xf numFmtId="0" fontId="0" fillId="0" borderId="52" xfId="0" applyBorder="1" applyAlignment="1">
      <alignment horizontal="center"/>
    </xf>
    <xf numFmtId="203" fontId="0" fillId="0" borderId="0" xfId="0" applyNumberFormat="1" applyAlignment="1">
      <alignment horizontal="center"/>
    </xf>
    <xf numFmtId="165" fontId="0" fillId="0" borderId="0" xfId="44" applyNumberFormat="1" applyBorder="1" applyAlignment="1">
      <alignment horizontal="right"/>
    </xf>
    <xf numFmtId="171" fontId="0" fillId="0" borderId="0" xfId="42" applyNumberFormat="1" applyFont="1" applyFill="1" applyBorder="1" applyAlignment="1" applyProtection="1">
      <alignment horizontal="right"/>
      <protection/>
    </xf>
    <xf numFmtId="9" fontId="0" fillId="0" borderId="0" xfId="61" applyBorder="1" applyAlignment="1">
      <alignment horizontal="right"/>
    </xf>
    <xf numFmtId="0" fontId="20" fillId="26" borderId="55" xfId="0" applyFont="1" applyFill="1" applyBorder="1" applyAlignment="1">
      <alignment/>
    </xf>
    <xf numFmtId="0" fontId="20" fillId="26" borderId="54" xfId="0" applyFont="1" applyFill="1" applyBorder="1" applyAlignment="1">
      <alignment/>
    </xf>
    <xf numFmtId="0" fontId="0" fillId="26" borderId="56" xfId="0" applyFill="1" applyBorder="1" applyAlignment="1">
      <alignment/>
    </xf>
    <xf numFmtId="171" fontId="0" fillId="0" borderId="0" xfId="42" applyNumberFormat="1" applyFont="1" applyFill="1" applyBorder="1" applyAlignment="1" applyProtection="1">
      <alignment/>
      <protection/>
    </xf>
    <xf numFmtId="38" fontId="20" fillId="0" borderId="37" xfId="0" applyNumberFormat="1" applyFont="1" applyBorder="1" applyAlignment="1">
      <alignment/>
    </xf>
    <xf numFmtId="168" fontId="0" fillId="0" borderId="20" xfId="0" applyNumberFormat="1" applyFont="1" applyBorder="1" applyAlignment="1">
      <alignment horizontal="right"/>
    </xf>
    <xf numFmtId="170" fontId="0" fillId="0" borderId="0" xfId="0" applyNumberFormat="1" applyAlignment="1">
      <alignment/>
    </xf>
    <xf numFmtId="171" fontId="0" fillId="0" borderId="0" xfId="42" applyNumberFormat="1" applyFont="1" applyFill="1" applyBorder="1" applyAlignment="1" applyProtection="1">
      <alignment horizontal="right"/>
      <protection/>
    </xf>
    <xf numFmtId="0" fontId="26" fillId="20" borderId="35" xfId="0" applyFont="1" applyFill="1" applyBorder="1" applyAlignment="1">
      <alignment horizontal="center"/>
    </xf>
    <xf numFmtId="168" fontId="20" fillId="26" borderId="57" xfId="0" applyNumberFormat="1" applyFont="1" applyFill="1" applyBorder="1" applyAlignment="1">
      <alignment horizontal="right"/>
    </xf>
    <xf numFmtId="0" fontId="0" fillId="0" borderId="67" xfId="0" applyFill="1" applyBorder="1" applyAlignment="1">
      <alignment/>
    </xf>
    <xf numFmtId="0" fontId="0" fillId="0" borderId="68" xfId="0" applyFill="1" applyBorder="1" applyAlignment="1">
      <alignment/>
    </xf>
    <xf numFmtId="0" fontId="0" fillId="0" borderId="68" xfId="0" applyBorder="1" applyAlignment="1">
      <alignment/>
    </xf>
    <xf numFmtId="9" fontId="0" fillId="0" borderId="68" xfId="61" applyBorder="1" applyAlignment="1">
      <alignment horizontal="right"/>
    </xf>
    <xf numFmtId="3" fontId="0" fillId="0" borderId="69" xfId="0" applyNumberFormat="1" applyFill="1" applyBorder="1" applyAlignment="1">
      <alignment horizontal="right"/>
    </xf>
    <xf numFmtId="3" fontId="0" fillId="0" borderId="53" xfId="0" applyNumberFormat="1" applyFill="1" applyBorder="1" applyAlignment="1">
      <alignment horizontal="right"/>
    </xf>
    <xf numFmtId="0" fontId="0" fillId="0" borderId="52" xfId="0" applyBorder="1" applyAlignment="1">
      <alignment horizontal="left"/>
    </xf>
    <xf numFmtId="0" fontId="0" fillId="0" borderId="52" xfId="0" applyFill="1" applyBorder="1" applyAlignment="1">
      <alignment horizontal="left"/>
    </xf>
    <xf numFmtId="0" fontId="0" fillId="0" borderId="52" xfId="0" applyFont="1" applyBorder="1" applyAlignment="1">
      <alignment horizontal="right"/>
    </xf>
    <xf numFmtId="0" fontId="0" fillId="0" borderId="66" xfId="0" applyFont="1" applyFill="1" applyBorder="1" applyAlignment="1">
      <alignment horizontal="right"/>
    </xf>
    <xf numFmtId="0" fontId="0" fillId="0" borderId="70" xfId="0" applyFont="1" applyFill="1" applyBorder="1" applyAlignment="1">
      <alignment horizontal="right"/>
    </xf>
    <xf numFmtId="0" fontId="0" fillId="0" borderId="70" xfId="0" applyBorder="1" applyAlignment="1">
      <alignment/>
    </xf>
    <xf numFmtId="9" fontId="0" fillId="0" borderId="71" xfId="61" applyNumberFormat="1" applyFont="1" applyFill="1" applyBorder="1" applyAlignment="1" applyProtection="1">
      <alignment/>
      <protection/>
    </xf>
    <xf numFmtId="165" fontId="0" fillId="0" borderId="0" xfId="44" applyNumberFormat="1" applyBorder="1" applyAlignment="1">
      <alignment/>
    </xf>
    <xf numFmtId="165" fontId="0" fillId="0" borderId="0" xfId="44" applyNumberFormat="1" applyFont="1" applyAlignment="1">
      <alignment horizontal="center"/>
    </xf>
    <xf numFmtId="0" fontId="20" fillId="0" borderId="0" xfId="0" applyFont="1" applyAlignment="1">
      <alignment horizontal="center"/>
    </xf>
    <xf numFmtId="0" fontId="20" fillId="0" borderId="36" xfId="0" applyFont="1" applyBorder="1" applyAlignment="1">
      <alignment horizontal="center"/>
    </xf>
    <xf numFmtId="171" fontId="20" fillId="0" borderId="0" xfId="0" applyNumberFormat="1" applyFont="1" applyBorder="1" applyAlignment="1">
      <alignment horizontal="right"/>
    </xf>
    <xf numFmtId="171" fontId="20" fillId="0" borderId="38" xfId="0" applyNumberFormat="1" applyFont="1" applyBorder="1" applyAlignment="1">
      <alignment horizontal="right"/>
    </xf>
    <xf numFmtId="172" fontId="0" fillId="0" borderId="38" xfId="0" applyNumberFormat="1" applyBorder="1" applyAlignment="1">
      <alignment horizontal="right"/>
    </xf>
    <xf numFmtId="170" fontId="20" fillId="27" borderId="57" xfId="0" applyNumberFormat="1" applyFont="1" applyFill="1" applyBorder="1" applyAlignment="1">
      <alignment horizontal="right"/>
    </xf>
    <xf numFmtId="175" fontId="20" fillId="0" borderId="38" xfId="0" applyNumberFormat="1" applyFont="1" applyBorder="1" applyAlignment="1">
      <alignment/>
    </xf>
    <xf numFmtId="171" fontId="20" fillId="0" borderId="0" xfId="0" applyNumberFormat="1" applyFont="1" applyAlignment="1">
      <alignment/>
    </xf>
    <xf numFmtId="0" fontId="0" fillId="0" borderId="38" xfId="0" applyBorder="1" applyAlignment="1">
      <alignment/>
    </xf>
    <xf numFmtId="171" fontId="0" fillId="0" borderId="19" xfId="0" applyNumberFormat="1" applyFont="1" applyBorder="1" applyAlignment="1">
      <alignment/>
    </xf>
    <xf numFmtId="0" fontId="20" fillId="0" borderId="52" xfId="0" applyFont="1" applyFill="1" applyBorder="1" applyAlignment="1">
      <alignment horizontal="left"/>
    </xf>
    <xf numFmtId="0" fontId="20" fillId="0" borderId="52" xfId="0" applyFont="1" applyBorder="1" applyAlignment="1">
      <alignment horizontal="left"/>
    </xf>
    <xf numFmtId="192" fontId="0" fillId="0" borderId="0" xfId="42" applyNumberFormat="1" applyFill="1" applyBorder="1" applyAlignment="1">
      <alignment/>
    </xf>
    <xf numFmtId="0" fontId="0" fillId="0" borderId="53" xfId="0" applyBorder="1" applyAlignment="1">
      <alignment/>
    </xf>
    <xf numFmtId="0" fontId="20" fillId="0" borderId="46" xfId="0" applyFont="1" applyFill="1" applyBorder="1" applyAlignment="1">
      <alignment/>
    </xf>
    <xf numFmtId="179" fontId="0" fillId="0" borderId="0" xfId="0" applyNumberFormat="1" applyAlignment="1">
      <alignment/>
    </xf>
    <xf numFmtId="43" fontId="0" fillId="0" borderId="0" xfId="0" applyNumberFormat="1" applyAlignment="1">
      <alignment/>
    </xf>
    <xf numFmtId="6" fontId="0" fillId="0" borderId="0" xfId="42" applyNumberFormat="1" applyAlignment="1">
      <alignment horizontal="center"/>
    </xf>
    <xf numFmtId="192" fontId="0" fillId="0" borderId="0" xfId="0" applyNumberFormat="1" applyAlignment="1">
      <alignment/>
    </xf>
    <xf numFmtId="185" fontId="0" fillId="0" borderId="54" xfId="0" applyNumberFormat="1" applyBorder="1" applyAlignment="1">
      <alignment/>
    </xf>
    <xf numFmtId="185" fontId="20" fillId="0" borderId="54" xfId="0" applyNumberFormat="1" applyFont="1" applyBorder="1" applyAlignment="1">
      <alignment/>
    </xf>
    <xf numFmtId="165" fontId="0" fillId="0" borderId="45" xfId="44" applyNumberFormat="1" applyBorder="1" applyAlignment="1">
      <alignment horizontal="center"/>
    </xf>
    <xf numFmtId="172" fontId="0" fillId="0" borderId="0" xfId="0" applyNumberFormat="1" applyBorder="1" applyAlignment="1">
      <alignment/>
    </xf>
    <xf numFmtId="37" fontId="0" fillId="20" borderId="35" xfId="0" applyNumberFormat="1" applyFill="1" applyBorder="1" applyAlignment="1">
      <alignment/>
    </xf>
    <xf numFmtId="0" fontId="26" fillId="20" borderId="0" xfId="0" applyFont="1" applyFill="1" applyBorder="1" applyAlignment="1">
      <alignment horizontal="center"/>
    </xf>
    <xf numFmtId="37" fontId="0" fillId="28" borderId="57" xfId="0" applyNumberFormat="1" applyFill="1" applyBorder="1" applyAlignment="1">
      <alignment/>
    </xf>
    <xf numFmtId="172" fontId="20" fillId="24" borderId="57" xfId="0" applyNumberFormat="1" applyFont="1" applyFill="1" applyBorder="1" applyAlignment="1">
      <alignment horizontal="right"/>
    </xf>
    <xf numFmtId="168" fontId="0" fillId="0" borderId="38" xfId="0" applyNumberFormat="1" applyBorder="1" applyAlignment="1">
      <alignment horizontal="right"/>
    </xf>
    <xf numFmtId="172" fontId="0" fillId="0" borderId="0" xfId="0" applyNumberFormat="1" applyBorder="1" applyAlignment="1">
      <alignment horizontal="right"/>
    </xf>
    <xf numFmtId="2" fontId="0" fillId="0" borderId="0" xfId="0" applyNumberFormat="1" applyAlignment="1">
      <alignment/>
    </xf>
    <xf numFmtId="0" fontId="0" fillId="0" borderId="57" xfId="0" applyBorder="1" applyAlignment="1">
      <alignment/>
    </xf>
    <xf numFmtId="0" fontId="19" fillId="0" borderId="72" xfId="58" applyFont="1" applyFill="1" applyBorder="1" applyAlignment="1">
      <alignment horizontal="center" wrapText="1"/>
      <protection/>
    </xf>
    <xf numFmtId="166" fontId="20" fillId="0" borderId="12" xfId="0" applyNumberFormat="1" applyFont="1" applyBorder="1" applyAlignment="1">
      <alignment horizontal="center" wrapText="1"/>
    </xf>
    <xf numFmtId="0" fontId="20" fillId="20" borderId="44" xfId="0" applyFont="1" applyFill="1" applyBorder="1" applyAlignment="1">
      <alignment horizontal="center"/>
    </xf>
    <xf numFmtId="0" fontId="20" fillId="0" borderId="0" xfId="0" applyFont="1" applyFill="1" applyBorder="1" applyAlignment="1">
      <alignment horizontal="center"/>
    </xf>
    <xf numFmtId="0" fontId="27" fillId="0" borderId="72" xfId="0" applyFont="1" applyFill="1" applyBorder="1" applyAlignment="1">
      <alignment horizontal="center" wrapText="1"/>
    </xf>
    <xf numFmtId="169" fontId="25" fillId="0" borderId="12"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0th &amp; Glisan - Center Station" xfId="57"/>
    <cellStyle name="Normal_HWD PDC Application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0"/>
  <sheetViews>
    <sheetView tabSelected="1" zoomScale="80" zoomScaleNormal="80" zoomScalePageLayoutView="0" workbookViewId="0" topLeftCell="A1">
      <selection activeCell="C18" sqref="C18"/>
    </sheetView>
  </sheetViews>
  <sheetFormatPr defaultColWidth="9.140625" defaultRowHeight="12.75"/>
  <cols>
    <col min="2" max="2" width="30.421875" style="0" customWidth="1"/>
    <col min="3" max="3" width="11.8515625" style="0" customWidth="1"/>
    <col min="4" max="4" width="10.140625" style="0" customWidth="1"/>
    <col min="7" max="7" width="9.421875" style="0" customWidth="1"/>
    <col min="8" max="8" width="12.140625" style="0" customWidth="1"/>
    <col min="9" max="9" width="13.28125" style="1" customWidth="1"/>
    <col min="10" max="10" width="10.28125" style="1" customWidth="1"/>
    <col min="11" max="11" width="15.28125" style="1" customWidth="1"/>
    <col min="12" max="12" width="6.140625" style="0" customWidth="1"/>
    <col min="13" max="13" width="5.8515625" style="0" customWidth="1"/>
    <col min="14" max="14" width="3.421875" style="0" customWidth="1"/>
    <col min="15" max="15" width="12.8515625" style="0" customWidth="1"/>
    <col min="16" max="16" width="11.57421875" style="0" customWidth="1"/>
    <col min="17" max="17" width="8.8515625" style="0" customWidth="1"/>
  </cols>
  <sheetData>
    <row r="1" spans="1:11" ht="24" customHeight="1">
      <c r="A1" s="313" t="str">
        <f>'Proforma 2'!A1:I1</f>
        <v>Pioneer Lavada Jones</v>
      </c>
      <c r="B1" s="313"/>
      <c r="C1" s="313"/>
      <c r="D1" s="313"/>
      <c r="E1" s="313"/>
      <c r="F1" s="313"/>
      <c r="G1" s="313"/>
      <c r="H1" s="313"/>
      <c r="I1" s="313"/>
      <c r="J1" s="313"/>
      <c r="K1" s="313"/>
    </row>
    <row r="2" spans="1:11" ht="12" customHeight="1">
      <c r="A2" s="2"/>
      <c r="B2" s="3"/>
      <c r="C2" s="3"/>
      <c r="D2" s="3"/>
      <c r="E2" s="3"/>
      <c r="F2" s="3"/>
      <c r="G2" s="3"/>
      <c r="H2" s="3"/>
      <c r="K2" s="4"/>
    </row>
    <row r="3" spans="1:11" ht="12" customHeight="1" thickBot="1">
      <c r="A3" s="314">
        <f>'Proforma 2'!A3:I3</f>
        <v>43837</v>
      </c>
      <c r="B3" s="314"/>
      <c r="C3" s="314"/>
      <c r="D3" s="314"/>
      <c r="E3" s="314"/>
      <c r="F3" s="314"/>
      <c r="G3" s="314"/>
      <c r="H3" s="314"/>
      <c r="I3" s="314"/>
      <c r="J3" s="314"/>
      <c r="K3" s="314"/>
    </row>
    <row r="4" spans="1:19" ht="18.75" customHeight="1" thickBot="1">
      <c r="A4" s="5" t="s">
        <v>0</v>
      </c>
      <c r="B4" s="6"/>
      <c r="C4" s="3"/>
      <c r="D4" s="3"/>
      <c r="E4" s="3"/>
      <c r="F4" s="3"/>
      <c r="G4" s="3"/>
      <c r="H4" s="3"/>
      <c r="I4" s="7" t="e">
        <f>'Proforma 2'!#REF!</f>
        <v>#REF!</v>
      </c>
      <c r="J4" s="1" t="s">
        <v>1</v>
      </c>
      <c r="K4" s="8" t="e">
        <f>'Proforma 2'!#REF!</f>
        <v>#REF!</v>
      </c>
      <c r="O4" s="223"/>
      <c r="P4" s="224"/>
      <c r="Q4" s="225"/>
      <c r="R4" s="225"/>
      <c r="S4" s="226"/>
    </row>
    <row r="5" spans="1:11" ht="12.75">
      <c r="A5" s="9" t="s">
        <v>2</v>
      </c>
      <c r="B5" s="10"/>
      <c r="C5" s="11"/>
      <c r="D5" s="11"/>
      <c r="E5" s="11"/>
      <c r="F5" s="11"/>
      <c r="G5" s="11"/>
      <c r="H5" s="11"/>
      <c r="I5" s="12"/>
      <c r="J5" s="12"/>
      <c r="K5" s="13"/>
    </row>
    <row r="6" spans="1:16" ht="12.75">
      <c r="A6" s="14"/>
      <c r="B6" s="15" t="s">
        <v>3</v>
      </c>
      <c r="C6" s="3"/>
      <c r="D6" s="3"/>
      <c r="E6" s="3"/>
      <c r="F6" s="3"/>
      <c r="G6" s="203"/>
      <c r="H6" s="3" t="s">
        <v>4</v>
      </c>
      <c r="I6" s="1" t="e">
        <f>'Proforma 2'!#REF!</f>
        <v>#REF!</v>
      </c>
      <c r="K6" s="4"/>
      <c r="O6" s="217"/>
      <c r="P6" s="217"/>
    </row>
    <row r="7" spans="1:16" ht="12.75">
      <c r="A7" s="14"/>
      <c r="B7" s="15"/>
      <c r="C7" s="3"/>
      <c r="D7" s="3"/>
      <c r="E7" s="3"/>
      <c r="F7" s="3" t="s">
        <v>5</v>
      </c>
      <c r="G7" s="16">
        <v>0</v>
      </c>
      <c r="H7" s="3" t="s">
        <v>4</v>
      </c>
      <c r="I7" s="1">
        <f>G7*'Proforma 2'!E25</f>
        <v>0</v>
      </c>
      <c r="K7" s="4"/>
      <c r="O7" s="217"/>
      <c r="P7" s="217"/>
    </row>
    <row r="8" spans="1:16" ht="12.75">
      <c r="A8" s="14"/>
      <c r="B8" s="15"/>
      <c r="C8" s="3"/>
      <c r="D8" s="3"/>
      <c r="E8" s="3"/>
      <c r="F8" s="3" t="s">
        <v>5</v>
      </c>
      <c r="G8" s="16">
        <v>0</v>
      </c>
      <c r="H8" s="3" t="s">
        <v>4</v>
      </c>
      <c r="I8" s="1">
        <v>0</v>
      </c>
      <c r="K8" s="4"/>
      <c r="O8" s="217"/>
      <c r="P8" s="217"/>
    </row>
    <row r="9" spans="1:16" ht="12.75">
      <c r="A9" s="14"/>
      <c r="B9" s="15" t="s">
        <v>6</v>
      </c>
      <c r="C9" s="3"/>
      <c r="D9" s="3"/>
      <c r="E9" s="3"/>
      <c r="F9" s="3" t="s">
        <v>5</v>
      </c>
      <c r="G9" s="16">
        <v>0</v>
      </c>
      <c r="H9" s="3" t="s">
        <v>4</v>
      </c>
      <c r="I9" s="1">
        <f>G9*'Proforma 2'!E27</f>
        <v>0</v>
      </c>
      <c r="K9" s="4"/>
      <c r="O9" s="217"/>
      <c r="P9" s="217"/>
    </row>
    <row r="10" spans="1:16" ht="12.75">
      <c r="A10" s="14"/>
      <c r="B10" s="15" t="s">
        <v>7</v>
      </c>
      <c r="C10" s="3"/>
      <c r="D10" s="3"/>
      <c r="E10" s="3"/>
      <c r="F10" s="3" t="s">
        <v>5</v>
      </c>
      <c r="G10" s="16">
        <v>0</v>
      </c>
      <c r="H10" s="3" t="s">
        <v>4</v>
      </c>
      <c r="I10" s="1">
        <f>G10*'Proforma 2'!E28</f>
        <v>0</v>
      </c>
      <c r="K10" s="4"/>
      <c r="O10" s="217"/>
      <c r="P10" s="217"/>
    </row>
    <row r="11" spans="1:16" ht="12.75">
      <c r="A11" s="14"/>
      <c r="B11" s="15" t="s">
        <v>8</v>
      </c>
      <c r="C11" s="3"/>
      <c r="D11" s="3"/>
      <c r="E11" s="3"/>
      <c r="F11" s="3" t="s">
        <v>5</v>
      </c>
      <c r="G11" s="16">
        <v>0</v>
      </c>
      <c r="H11" s="3" t="s">
        <v>4</v>
      </c>
      <c r="I11" s="1">
        <f>G11*'Proforma 2'!E29</f>
        <v>0</v>
      </c>
      <c r="K11" s="4"/>
      <c r="O11" s="217"/>
      <c r="P11" s="217"/>
    </row>
    <row r="12" spans="1:16" ht="12.75">
      <c r="A12" s="14"/>
      <c r="B12" s="15" t="s">
        <v>9</v>
      </c>
      <c r="C12" s="3"/>
      <c r="D12" s="3"/>
      <c r="E12" s="3"/>
      <c r="F12" s="3" t="s">
        <v>10</v>
      </c>
      <c r="G12" s="16">
        <v>0</v>
      </c>
      <c r="H12" s="3" t="s">
        <v>4</v>
      </c>
      <c r="I12" s="1">
        <f>G12*'Proforma 2'!E30</f>
        <v>0</v>
      </c>
      <c r="K12" s="4"/>
      <c r="O12" s="217"/>
      <c r="P12" s="217"/>
    </row>
    <row r="13" spans="1:16" ht="12.75">
      <c r="A13" s="14"/>
      <c r="B13" s="15" t="e">
        <f>'Proforma 2'!#REF!</f>
        <v>#REF!</v>
      </c>
      <c r="C13" s="3"/>
      <c r="D13" s="3"/>
      <c r="E13" s="3"/>
      <c r="F13" s="51" t="s">
        <v>10</v>
      </c>
      <c r="G13" s="16">
        <v>0</v>
      </c>
      <c r="H13" s="3" t="s">
        <v>4</v>
      </c>
      <c r="I13" s="1">
        <v>100000</v>
      </c>
      <c r="K13" s="4"/>
      <c r="O13" s="217"/>
      <c r="P13" s="217"/>
    </row>
    <row r="14" spans="1:16" ht="12.75">
      <c r="A14" s="14"/>
      <c r="B14" s="15" t="s">
        <v>12</v>
      </c>
      <c r="C14" s="3"/>
      <c r="D14" s="3"/>
      <c r="E14" s="3"/>
      <c r="F14" s="3" t="s">
        <v>10</v>
      </c>
      <c r="G14" s="16">
        <v>0</v>
      </c>
      <c r="H14" s="3" t="s">
        <v>4</v>
      </c>
      <c r="I14" s="1">
        <f>G14*'Proforma 2'!E32</f>
        <v>0</v>
      </c>
      <c r="K14" s="4"/>
      <c r="O14" s="217"/>
      <c r="P14" s="217"/>
    </row>
    <row r="15" spans="1:16" ht="12.75">
      <c r="A15" s="14"/>
      <c r="B15" s="15" t="s">
        <v>13</v>
      </c>
      <c r="C15" s="17"/>
      <c r="D15" s="3"/>
      <c r="E15" s="3"/>
      <c r="F15" s="3" t="s">
        <v>10</v>
      </c>
      <c r="G15" s="16">
        <v>0</v>
      </c>
      <c r="H15" s="3" t="s">
        <v>4</v>
      </c>
      <c r="I15" s="1">
        <v>0</v>
      </c>
      <c r="K15" s="4"/>
      <c r="O15" s="217"/>
      <c r="P15" s="217"/>
    </row>
    <row r="16" spans="1:16" ht="12.75">
      <c r="A16" s="14"/>
      <c r="B16" s="18" t="s">
        <v>14</v>
      </c>
      <c r="C16" s="19"/>
      <c r="D16" s="20"/>
      <c r="E16" s="20"/>
      <c r="F16" s="20"/>
      <c r="G16" s="20"/>
      <c r="H16" s="20"/>
      <c r="I16" s="21" t="e">
        <f>I6</f>
        <v>#REF!</v>
      </c>
      <c r="K16" s="4"/>
      <c r="O16" s="217"/>
      <c r="P16" s="217"/>
    </row>
    <row r="17" spans="1:16" ht="12.75">
      <c r="A17" s="14"/>
      <c r="B17" s="22" t="s">
        <v>15</v>
      </c>
      <c r="C17" s="23" t="e">
        <f>'Proforma 2'!#REF!</f>
        <v>#REF!</v>
      </c>
      <c r="D17" s="24"/>
      <c r="E17" s="24"/>
      <c r="F17" s="24"/>
      <c r="G17" s="24"/>
      <c r="H17" s="24"/>
      <c r="I17" s="25" t="e">
        <f>C17*I16</f>
        <v>#REF!</v>
      </c>
      <c r="K17" s="4"/>
      <c r="O17" s="217"/>
      <c r="P17" s="217"/>
    </row>
    <row r="18" spans="1:16" ht="12.75">
      <c r="A18" s="14"/>
      <c r="B18" s="15"/>
      <c r="C18" s="3"/>
      <c r="D18" s="3"/>
      <c r="E18" s="3"/>
      <c r="F18" s="3"/>
      <c r="G18" s="3"/>
      <c r="H18" s="3"/>
      <c r="K18" s="4"/>
      <c r="O18" s="217"/>
      <c r="P18" s="217"/>
    </row>
    <row r="19" spans="1:16" ht="12.75">
      <c r="A19" s="26"/>
      <c r="B19" s="27" t="s">
        <v>16</v>
      </c>
      <c r="C19" s="3"/>
      <c r="D19" s="3"/>
      <c r="E19" s="3"/>
      <c r="F19" s="3"/>
      <c r="G19" s="3"/>
      <c r="H19" s="3"/>
      <c r="K19" s="28" t="e">
        <f>SUM(I9:I17)</f>
        <v>#REF!</v>
      </c>
      <c r="O19" s="217"/>
      <c r="P19" s="217"/>
    </row>
    <row r="20" spans="1:16" ht="12.75">
      <c r="A20" s="9" t="s">
        <v>17</v>
      </c>
      <c r="B20" s="10"/>
      <c r="C20" s="11"/>
      <c r="D20" s="11"/>
      <c r="E20" s="11"/>
      <c r="F20" s="11"/>
      <c r="G20" s="11"/>
      <c r="H20" s="11"/>
      <c r="I20" s="12"/>
      <c r="J20" s="12"/>
      <c r="K20" s="13"/>
      <c r="O20" s="217"/>
      <c r="P20" s="217"/>
    </row>
    <row r="21" spans="1:16" ht="12.75">
      <c r="A21" s="29"/>
      <c r="B21" s="15" t="s">
        <v>18</v>
      </c>
      <c r="C21" s="3"/>
      <c r="D21" s="3"/>
      <c r="E21" s="3"/>
      <c r="F21" s="3"/>
      <c r="G21" s="30" t="e">
        <f>I21/I16</f>
        <v>#REF!</v>
      </c>
      <c r="H21" s="3" t="s">
        <v>19</v>
      </c>
      <c r="I21" s="1">
        <v>0</v>
      </c>
      <c r="K21" s="4"/>
      <c r="O21" s="217"/>
      <c r="P21" s="217"/>
    </row>
    <row r="22" spans="1:16" ht="12.75">
      <c r="A22" s="29"/>
      <c r="B22" s="15" t="s">
        <v>20</v>
      </c>
      <c r="C22" s="3"/>
      <c r="D22" s="3"/>
      <c r="E22" s="3"/>
      <c r="F22" s="3"/>
      <c r="G22" s="30" t="e">
        <f>I22/I16</f>
        <v>#REF!</v>
      </c>
      <c r="H22" s="3" t="s">
        <v>19</v>
      </c>
      <c r="I22" s="1">
        <v>0</v>
      </c>
      <c r="K22" s="4"/>
      <c r="O22" s="217"/>
      <c r="P22" s="217"/>
    </row>
    <row r="23" spans="1:16" ht="12.75">
      <c r="A23" s="29"/>
      <c r="B23" s="15" t="s">
        <v>139</v>
      </c>
      <c r="C23" s="3"/>
      <c r="D23" s="3"/>
      <c r="E23" s="3"/>
      <c r="F23" s="3"/>
      <c r="G23" s="30" t="e">
        <f>I23/I16</f>
        <v>#REF!</v>
      </c>
      <c r="H23" s="3" t="s">
        <v>19</v>
      </c>
      <c r="I23" s="1">
        <v>0</v>
      </c>
      <c r="K23" s="4"/>
      <c r="O23" s="217"/>
      <c r="P23" s="217"/>
    </row>
    <row r="24" spans="1:16" ht="12.75">
      <c r="A24" s="29"/>
      <c r="B24" s="15" t="s">
        <v>21</v>
      </c>
      <c r="C24" s="3"/>
      <c r="D24" s="3"/>
      <c r="E24" s="3"/>
      <c r="F24" s="3"/>
      <c r="G24" s="30" t="e">
        <f>I24/I16</f>
        <v>#REF!</v>
      </c>
      <c r="H24" s="3" t="s">
        <v>19</v>
      </c>
      <c r="I24" s="1">
        <v>6002</v>
      </c>
      <c r="K24" s="4"/>
      <c r="O24" s="217"/>
      <c r="P24" s="217"/>
    </row>
    <row r="25" spans="1:16" ht="12.75">
      <c r="A25" s="29"/>
      <c r="B25" s="15" t="s">
        <v>22</v>
      </c>
      <c r="C25" s="3"/>
      <c r="D25" s="3"/>
      <c r="E25" s="3"/>
      <c r="F25" s="3"/>
      <c r="G25" s="30" t="e">
        <f>I25/I16</f>
        <v>#REF!</v>
      </c>
      <c r="H25" s="3" t="s">
        <v>19</v>
      </c>
      <c r="I25" s="1">
        <v>0</v>
      </c>
      <c r="K25" s="4"/>
      <c r="O25" s="217"/>
      <c r="P25" s="217"/>
    </row>
    <row r="26" spans="1:16" ht="12.75">
      <c r="A26" s="29"/>
      <c r="B26" s="15" t="s">
        <v>23</v>
      </c>
      <c r="C26" s="3"/>
      <c r="D26" s="3"/>
      <c r="E26" s="3"/>
      <c r="F26" s="3"/>
      <c r="G26" s="30" t="e">
        <f>I26/I16</f>
        <v>#REF!</v>
      </c>
      <c r="H26" s="3" t="s">
        <v>19</v>
      </c>
      <c r="I26" s="1">
        <v>11500</v>
      </c>
      <c r="K26" s="4"/>
      <c r="O26" s="217"/>
      <c r="P26" s="217"/>
    </row>
    <row r="27" spans="1:16" ht="12.75">
      <c r="A27" s="29"/>
      <c r="B27" s="15" t="s">
        <v>24</v>
      </c>
      <c r="C27" s="3"/>
      <c r="D27" s="3"/>
      <c r="E27" s="3"/>
      <c r="F27" s="3"/>
      <c r="G27" s="30" t="e">
        <f>I27/I16</f>
        <v>#REF!</v>
      </c>
      <c r="H27" s="3" t="s">
        <v>19</v>
      </c>
      <c r="I27" s="1">
        <v>0</v>
      </c>
      <c r="K27" s="4"/>
      <c r="O27" s="217"/>
      <c r="P27" s="217"/>
    </row>
    <row r="28" spans="1:16" ht="12.75">
      <c r="A28" s="29"/>
      <c r="B28" s="15" t="s">
        <v>25</v>
      </c>
      <c r="C28" s="3"/>
      <c r="D28" s="3"/>
      <c r="E28" s="3"/>
      <c r="F28" s="3"/>
      <c r="G28" s="30" t="e">
        <f>I28/I16</f>
        <v>#REF!</v>
      </c>
      <c r="H28" s="3" t="s">
        <v>19</v>
      </c>
      <c r="I28" s="1">
        <v>0</v>
      </c>
      <c r="K28" s="4"/>
      <c r="O28" s="217"/>
      <c r="P28" s="217"/>
    </row>
    <row r="29" spans="1:16" ht="12.75">
      <c r="A29" s="29"/>
      <c r="B29" s="15" t="s">
        <v>136</v>
      </c>
      <c r="C29" s="3"/>
      <c r="D29" s="3"/>
      <c r="E29" s="3"/>
      <c r="F29" s="3"/>
      <c r="G29" s="30" t="e">
        <f>I29/I16</f>
        <v>#REF!</v>
      </c>
      <c r="H29" s="3" t="s">
        <v>19</v>
      </c>
      <c r="I29" s="1">
        <v>0</v>
      </c>
      <c r="K29" s="4"/>
      <c r="O29" s="217"/>
      <c r="P29" s="217"/>
    </row>
    <row r="30" spans="1:16" ht="12.75">
      <c r="A30" s="29"/>
      <c r="B30" s="15"/>
      <c r="C30" s="3"/>
      <c r="D30" s="3"/>
      <c r="E30" s="3"/>
      <c r="F30" s="3" t="s">
        <v>26</v>
      </c>
      <c r="G30" s="30" t="e">
        <f>SUM(G21:G29)</f>
        <v>#REF!</v>
      </c>
      <c r="H30" s="3"/>
      <c r="K30" s="4"/>
      <c r="O30" s="217"/>
      <c r="P30" s="217"/>
    </row>
    <row r="31" spans="1:16" ht="12.75">
      <c r="A31" s="26"/>
      <c r="B31" s="27" t="s">
        <v>16</v>
      </c>
      <c r="C31" s="3"/>
      <c r="D31" s="3"/>
      <c r="E31" s="3"/>
      <c r="F31" s="3"/>
      <c r="G31" s="3"/>
      <c r="H31" s="3"/>
      <c r="K31" s="28">
        <f>SUM(I21:I29)</f>
        <v>17502</v>
      </c>
      <c r="O31" s="217"/>
      <c r="P31" s="217"/>
    </row>
    <row r="32" spans="1:16" ht="12.75">
      <c r="A32" s="9" t="s">
        <v>27</v>
      </c>
      <c r="B32" s="10"/>
      <c r="C32" s="31"/>
      <c r="D32" s="11"/>
      <c r="E32" s="11"/>
      <c r="F32" s="11"/>
      <c r="G32" s="11"/>
      <c r="H32" s="11"/>
      <c r="I32" s="12"/>
      <c r="J32" s="12"/>
      <c r="K32" s="13"/>
      <c r="O32" s="217"/>
      <c r="P32" s="217"/>
    </row>
    <row r="33" spans="1:16" ht="12.75">
      <c r="A33" s="29"/>
      <c r="B33" s="15" t="s">
        <v>28</v>
      </c>
      <c r="C33" s="32" t="e">
        <f>I33/I6</f>
        <v>#REF!</v>
      </c>
      <c r="D33" s="24"/>
      <c r="E33" s="24"/>
      <c r="F33" s="24"/>
      <c r="G33" s="24"/>
      <c r="H33" s="24"/>
      <c r="I33" s="25">
        <v>70000</v>
      </c>
      <c r="K33" s="4"/>
      <c r="O33" s="217"/>
      <c r="P33" s="227"/>
    </row>
    <row r="34" spans="1:16" ht="12.75">
      <c r="A34" s="29"/>
      <c r="B34" s="15" t="s">
        <v>29</v>
      </c>
      <c r="C34" s="3"/>
      <c r="D34" s="3"/>
      <c r="E34" s="3"/>
      <c r="F34" s="3"/>
      <c r="G34" s="3" t="s">
        <v>30</v>
      </c>
      <c r="H34" s="3"/>
      <c r="K34" s="4"/>
      <c r="O34" s="217"/>
      <c r="P34" s="217"/>
    </row>
    <row r="35" spans="1:16" ht="12.75">
      <c r="A35" s="29"/>
      <c r="B35" s="15" t="s">
        <v>31</v>
      </c>
      <c r="C35" s="3"/>
      <c r="D35" s="3"/>
      <c r="E35" s="3"/>
      <c r="F35" s="3"/>
      <c r="G35" s="3" t="s">
        <v>32</v>
      </c>
      <c r="H35" s="3"/>
      <c r="K35" s="4"/>
      <c r="O35" s="217"/>
      <c r="P35" s="217"/>
    </row>
    <row r="36" spans="1:16" ht="12.75">
      <c r="A36" s="29"/>
      <c r="B36" s="15" t="s">
        <v>33</v>
      </c>
      <c r="C36" s="3"/>
      <c r="D36" s="3"/>
      <c r="E36" s="3"/>
      <c r="F36" s="3"/>
      <c r="G36" s="3"/>
      <c r="H36" s="3"/>
      <c r="I36" s="1">
        <v>0</v>
      </c>
      <c r="K36" s="4"/>
      <c r="O36" s="217"/>
      <c r="P36" s="217"/>
    </row>
    <row r="37" spans="1:16" ht="12.75">
      <c r="A37" s="29"/>
      <c r="B37" s="15" t="s">
        <v>34</v>
      </c>
      <c r="C37" s="3"/>
      <c r="D37" s="3"/>
      <c r="E37" s="3"/>
      <c r="F37" s="3"/>
      <c r="G37" s="3" t="s">
        <v>30</v>
      </c>
      <c r="H37" s="3"/>
      <c r="I37" s="1">
        <v>0</v>
      </c>
      <c r="K37" s="4"/>
      <c r="O37" s="217"/>
      <c r="P37" s="217"/>
    </row>
    <row r="38" spans="1:17" ht="12.75">
      <c r="A38" s="29"/>
      <c r="B38" s="15" t="s">
        <v>40</v>
      </c>
      <c r="C38" s="3"/>
      <c r="D38" s="3"/>
      <c r="E38" s="3"/>
      <c r="F38" s="3"/>
      <c r="G38" s="3"/>
      <c r="H38" s="3"/>
      <c r="I38" s="1">
        <v>10000</v>
      </c>
      <c r="K38" s="4"/>
      <c r="M38" s="51"/>
      <c r="N38" s="51"/>
      <c r="O38" s="232"/>
      <c r="P38" s="232"/>
      <c r="Q38" s="51"/>
    </row>
    <row r="39" spans="1:17" ht="13.5" thickBot="1">
      <c r="A39" s="33" t="s">
        <v>35</v>
      </c>
      <c r="B39" s="15"/>
      <c r="C39" s="3"/>
      <c r="D39" s="3"/>
      <c r="E39" s="3"/>
      <c r="F39" s="3"/>
      <c r="G39" s="3"/>
      <c r="H39" s="3"/>
      <c r="K39" s="4"/>
      <c r="M39" s="51"/>
      <c r="N39" s="51"/>
      <c r="O39" s="232"/>
      <c r="P39" s="232"/>
      <c r="Q39" s="51"/>
    </row>
    <row r="40" spans="1:17" ht="13.5" thickBot="1">
      <c r="A40" s="29"/>
      <c r="B40" s="27" t="s">
        <v>16</v>
      </c>
      <c r="C40" s="3"/>
      <c r="D40" s="3"/>
      <c r="E40" s="3"/>
      <c r="F40" s="3"/>
      <c r="G40" s="3"/>
      <c r="H40" s="3"/>
      <c r="K40" s="28">
        <f>SUM(I33:I38)</f>
        <v>80000</v>
      </c>
      <c r="M40" s="51"/>
      <c r="N40" s="51"/>
      <c r="O40" s="232"/>
      <c r="P40" s="232"/>
      <c r="Q40" s="51"/>
    </row>
    <row r="41" spans="1:17" ht="12.75">
      <c r="A41" s="9" t="s">
        <v>36</v>
      </c>
      <c r="B41" s="10"/>
      <c r="C41" s="31"/>
      <c r="D41" s="11"/>
      <c r="E41" s="11"/>
      <c r="F41" s="11"/>
      <c r="G41" s="11"/>
      <c r="H41" s="11"/>
      <c r="I41" s="12"/>
      <c r="J41" s="12"/>
      <c r="K41" s="13"/>
      <c r="M41" s="51"/>
      <c r="N41" s="51"/>
      <c r="O41" s="232"/>
      <c r="P41" s="232"/>
      <c r="Q41" s="51"/>
    </row>
    <row r="42" spans="1:17" ht="12.75">
      <c r="A42" s="34"/>
      <c r="B42" s="35" t="s">
        <v>37</v>
      </c>
      <c r="C42" s="36">
        <v>0</v>
      </c>
      <c r="D42" s="24"/>
      <c r="E42" s="24"/>
      <c r="F42" s="24"/>
      <c r="G42" s="24"/>
      <c r="H42" s="24"/>
      <c r="I42" s="25"/>
      <c r="K42" s="4"/>
      <c r="M42" s="233"/>
      <c r="N42" s="51"/>
      <c r="O42" s="232"/>
      <c r="P42" s="232"/>
      <c r="Q42" s="51"/>
    </row>
    <row r="43" spans="1:17" ht="12.75">
      <c r="A43" s="29"/>
      <c r="B43" s="35" t="s">
        <v>38</v>
      </c>
      <c r="C43" s="37" t="e">
        <f>I43/'Proforma 2'!#REF!</f>
        <v>#REF!</v>
      </c>
      <c r="D43" s="24"/>
      <c r="E43" s="24"/>
      <c r="F43" s="24"/>
      <c r="G43" s="24"/>
      <c r="H43" s="24"/>
      <c r="I43" s="25">
        <f>7561*13</f>
        <v>98293</v>
      </c>
      <c r="K43" s="4"/>
      <c r="M43" s="233"/>
      <c r="N43" s="51"/>
      <c r="O43" s="232"/>
      <c r="P43" s="232"/>
      <c r="Q43" s="51"/>
    </row>
    <row r="44" spans="1:17" ht="12.75">
      <c r="A44" s="29"/>
      <c r="B44" s="15" t="s">
        <v>39</v>
      </c>
      <c r="C44" s="3"/>
      <c r="D44" s="3"/>
      <c r="E44" s="3"/>
      <c r="F44" s="3"/>
      <c r="G44" s="3" t="s">
        <v>30</v>
      </c>
      <c r="H44" s="3"/>
      <c r="K44" s="4"/>
      <c r="M44" s="51"/>
      <c r="N44" s="51"/>
      <c r="O44" s="232"/>
      <c r="P44" s="232"/>
      <c r="Q44" s="51"/>
    </row>
    <row r="45" spans="1:17" ht="12.75">
      <c r="A45" s="29"/>
      <c r="B45" s="15" t="s">
        <v>137</v>
      </c>
      <c r="C45" s="3"/>
      <c r="D45" s="3"/>
      <c r="E45" s="3"/>
      <c r="F45" s="3"/>
      <c r="G45" s="3" t="s">
        <v>30</v>
      </c>
      <c r="H45" s="3"/>
      <c r="K45" s="4"/>
      <c r="M45" s="51"/>
      <c r="N45" s="51"/>
      <c r="O45" s="232"/>
      <c r="P45" s="232"/>
      <c r="Q45" s="51"/>
    </row>
    <row r="46" spans="1:17" ht="12.75">
      <c r="A46" s="29"/>
      <c r="B46" s="15" t="s">
        <v>41</v>
      </c>
      <c r="C46" s="3"/>
      <c r="D46" s="3"/>
      <c r="E46" s="3"/>
      <c r="F46" s="3"/>
      <c r="G46" s="3" t="s">
        <v>30</v>
      </c>
      <c r="H46" s="3"/>
      <c r="K46" s="4"/>
      <c r="M46" s="51"/>
      <c r="N46" s="51"/>
      <c r="O46" s="232"/>
      <c r="P46" s="232"/>
      <c r="Q46" s="51"/>
    </row>
    <row r="47" spans="1:17" ht="12.75">
      <c r="A47" s="29"/>
      <c r="B47" s="15" t="s">
        <v>42</v>
      </c>
      <c r="C47" s="3"/>
      <c r="D47" s="3"/>
      <c r="E47" s="3"/>
      <c r="F47" s="3"/>
      <c r="G47" s="3" t="s">
        <v>43</v>
      </c>
      <c r="H47" s="3"/>
      <c r="K47" s="4"/>
      <c r="M47" s="51"/>
      <c r="N47" s="51"/>
      <c r="O47" s="232"/>
      <c r="P47" s="232"/>
      <c r="Q47" s="51"/>
    </row>
    <row r="48" spans="1:17" ht="13.5" thickBot="1">
      <c r="A48" s="29"/>
      <c r="B48" s="15" t="s">
        <v>44</v>
      </c>
      <c r="C48" s="3"/>
      <c r="D48" s="3"/>
      <c r="E48" s="3"/>
      <c r="F48" s="3"/>
      <c r="G48" s="3" t="s">
        <v>43</v>
      </c>
      <c r="H48" s="3"/>
      <c r="K48" s="4"/>
      <c r="M48" s="51"/>
      <c r="N48" s="51"/>
      <c r="O48" s="232"/>
      <c r="P48" s="232"/>
      <c r="Q48" s="51"/>
    </row>
    <row r="49" spans="1:17" ht="13.5" thickBot="1">
      <c r="A49" s="38"/>
      <c r="B49" s="39" t="s">
        <v>16</v>
      </c>
      <c r="C49" s="3"/>
      <c r="D49" s="3"/>
      <c r="E49" s="3"/>
      <c r="F49" s="3"/>
      <c r="G49" s="3"/>
      <c r="H49" s="3"/>
      <c r="K49" s="28">
        <f>I42+I43</f>
        <v>98293</v>
      </c>
      <c r="M49" s="51"/>
      <c r="N49" s="51"/>
      <c r="O49" s="232"/>
      <c r="P49" s="232"/>
      <c r="Q49" s="51"/>
    </row>
    <row r="50" spans="2:17" ht="13.5" thickBot="1">
      <c r="B50" s="40"/>
      <c r="C50" s="41"/>
      <c r="D50" s="41"/>
      <c r="E50" s="41"/>
      <c r="F50" s="41"/>
      <c r="G50" s="41"/>
      <c r="H50" s="41"/>
      <c r="I50" s="42"/>
      <c r="J50" s="42"/>
      <c r="K50" s="43"/>
      <c r="M50" s="51"/>
      <c r="N50" s="51"/>
      <c r="O50" s="232"/>
      <c r="P50" s="232"/>
      <c r="Q50" s="51"/>
    </row>
    <row r="51" spans="1:17" ht="12.75">
      <c r="A51" s="44"/>
      <c r="B51" s="45"/>
      <c r="C51" s="46"/>
      <c r="D51" s="46"/>
      <c r="E51" s="46"/>
      <c r="F51" s="46"/>
      <c r="G51" s="46"/>
      <c r="H51" s="46"/>
      <c r="I51" s="47"/>
      <c r="J51" s="47"/>
      <c r="K51" s="48"/>
      <c r="M51" s="51"/>
      <c r="N51" s="51"/>
      <c r="O51" s="232"/>
      <c r="P51" s="232"/>
      <c r="Q51" s="51"/>
    </row>
    <row r="52" spans="1:17" ht="12.75">
      <c r="A52" s="9" t="s">
        <v>45</v>
      </c>
      <c r="B52" s="10"/>
      <c r="C52" s="11"/>
      <c r="D52" s="11"/>
      <c r="E52" s="11"/>
      <c r="F52" s="11"/>
      <c r="G52" s="11"/>
      <c r="H52" s="11"/>
      <c r="I52" s="12"/>
      <c r="J52" s="12"/>
      <c r="K52" s="49"/>
      <c r="M52" s="51"/>
      <c r="N52" s="51"/>
      <c r="O52" s="232"/>
      <c r="P52" s="232"/>
      <c r="Q52" s="51"/>
    </row>
    <row r="53" spans="1:17" ht="12.75">
      <c r="A53" s="29"/>
      <c r="B53" s="15" t="s">
        <v>46</v>
      </c>
      <c r="C53" s="17">
        <v>0.015</v>
      </c>
      <c r="D53" s="17" t="s">
        <v>47</v>
      </c>
      <c r="E53" s="3"/>
      <c r="F53" s="3"/>
      <c r="G53" s="3"/>
      <c r="H53" s="3"/>
      <c r="I53" s="1" t="e">
        <f>I16*C53</f>
        <v>#REF!</v>
      </c>
      <c r="K53" s="4"/>
      <c r="M53" s="51"/>
      <c r="N53" s="51"/>
      <c r="O53" s="232"/>
      <c r="P53" s="232"/>
      <c r="Q53" s="51"/>
    </row>
    <row r="54" spans="1:17" ht="12.75">
      <c r="A54" s="29"/>
      <c r="B54" s="15" t="s">
        <v>48</v>
      </c>
      <c r="C54" s="50">
        <v>0.0016</v>
      </c>
      <c r="D54" s="17" t="s">
        <v>47</v>
      </c>
      <c r="E54" s="3"/>
      <c r="F54" s="3"/>
      <c r="G54" s="3"/>
      <c r="H54" s="3"/>
      <c r="I54" s="1" t="e">
        <f>C54*I16</f>
        <v>#REF!</v>
      </c>
      <c r="K54" s="4"/>
      <c r="M54" s="51"/>
      <c r="N54" s="51"/>
      <c r="O54" s="232"/>
      <c r="P54" s="232"/>
      <c r="Q54" s="51"/>
    </row>
    <row r="55" spans="1:17" ht="12.75">
      <c r="A55" s="29"/>
      <c r="B55" s="15" t="s">
        <v>49</v>
      </c>
      <c r="C55" s="3"/>
      <c r="D55" s="3" t="s">
        <v>50</v>
      </c>
      <c r="E55" s="3"/>
      <c r="F55" s="3"/>
      <c r="G55" s="3"/>
      <c r="H55" s="3"/>
      <c r="I55" s="1">
        <v>3500</v>
      </c>
      <c r="K55" s="4"/>
      <c r="M55" s="51"/>
      <c r="N55" s="51"/>
      <c r="O55" s="232"/>
      <c r="P55" s="232"/>
      <c r="Q55" s="51"/>
    </row>
    <row r="56" spans="1:17" ht="12.75">
      <c r="A56" s="29"/>
      <c r="B56" s="15" t="s">
        <v>51</v>
      </c>
      <c r="C56" s="16">
        <v>4800</v>
      </c>
      <c r="D56" s="3" t="s">
        <v>52</v>
      </c>
      <c r="E56" s="3"/>
      <c r="F56" s="3">
        <v>1</v>
      </c>
      <c r="G56" s="3" t="s">
        <v>53</v>
      </c>
      <c r="H56" s="3"/>
      <c r="I56" s="1">
        <f>F56*C56</f>
        <v>4800</v>
      </c>
      <c r="K56" s="4"/>
      <c r="M56" s="51"/>
      <c r="N56" s="51"/>
      <c r="O56" s="232"/>
      <c r="P56" s="232"/>
      <c r="Q56" s="51"/>
    </row>
    <row r="57" spans="1:17" ht="12.75">
      <c r="A57" s="29"/>
      <c r="B57" s="15"/>
      <c r="C57" s="16">
        <v>4800</v>
      </c>
      <c r="D57" s="3" t="s">
        <v>54</v>
      </c>
      <c r="E57" s="3"/>
      <c r="F57" s="3">
        <v>1</v>
      </c>
      <c r="G57" s="3" t="s">
        <v>53</v>
      </c>
      <c r="H57" s="3"/>
      <c r="I57" s="1">
        <f>F57*C57</f>
        <v>4800</v>
      </c>
      <c r="K57" s="4"/>
      <c r="M57" s="51"/>
      <c r="N57" s="51"/>
      <c r="O57" s="232"/>
      <c r="P57" s="232"/>
      <c r="Q57" s="51"/>
    </row>
    <row r="58" spans="1:17" ht="12.75">
      <c r="A58" s="2"/>
      <c r="B58" s="3" t="s">
        <v>55</v>
      </c>
      <c r="C58" s="16">
        <v>500</v>
      </c>
      <c r="D58" s="3" t="s">
        <v>52</v>
      </c>
      <c r="E58" s="3"/>
      <c r="F58" s="3">
        <v>0</v>
      </c>
      <c r="G58" s="3" t="s">
        <v>53</v>
      </c>
      <c r="H58" s="3"/>
      <c r="I58" s="1">
        <f>C58*F58</f>
        <v>0</v>
      </c>
      <c r="K58" s="4"/>
      <c r="M58" s="51"/>
      <c r="N58" s="51"/>
      <c r="O58" s="232"/>
      <c r="P58" s="232"/>
      <c r="Q58" s="51"/>
    </row>
    <row r="59" spans="1:17" ht="12.75">
      <c r="A59" s="2"/>
      <c r="B59" s="3"/>
      <c r="C59" s="16">
        <v>500</v>
      </c>
      <c r="D59" s="3" t="s">
        <v>56</v>
      </c>
      <c r="E59" s="3"/>
      <c r="F59" s="51">
        <v>0</v>
      </c>
      <c r="G59" s="3" t="s">
        <v>53</v>
      </c>
      <c r="H59" s="3"/>
      <c r="I59" s="1">
        <f>C59*F59</f>
        <v>0</v>
      </c>
      <c r="K59" s="4"/>
      <c r="M59" s="51"/>
      <c r="N59" s="51"/>
      <c r="O59" s="232"/>
      <c r="P59" s="232"/>
      <c r="Q59" s="51"/>
    </row>
    <row r="60" spans="1:17" ht="12.75">
      <c r="A60" s="29"/>
      <c r="B60" s="35" t="s">
        <v>57</v>
      </c>
      <c r="C60" s="16">
        <v>500</v>
      </c>
      <c r="D60" s="3" t="s">
        <v>52</v>
      </c>
      <c r="E60" s="3"/>
      <c r="F60" s="3">
        <v>0</v>
      </c>
      <c r="G60" s="3" t="s">
        <v>53</v>
      </c>
      <c r="H60" s="3"/>
      <c r="I60" s="1">
        <f>C60*F60</f>
        <v>0</v>
      </c>
      <c r="K60" s="4"/>
      <c r="M60" s="51"/>
      <c r="N60" s="51"/>
      <c r="O60" s="232"/>
      <c r="P60" s="232"/>
      <c r="Q60" s="51"/>
    </row>
    <row r="61" spans="1:17" ht="12.75">
      <c r="A61" s="29"/>
      <c r="B61" s="35"/>
      <c r="C61" s="16">
        <v>500</v>
      </c>
      <c r="D61" s="3" t="s">
        <v>56</v>
      </c>
      <c r="E61" s="3"/>
      <c r="F61" s="3">
        <v>0</v>
      </c>
      <c r="G61" s="3" t="s">
        <v>53</v>
      </c>
      <c r="H61" s="3"/>
      <c r="I61" s="1">
        <f>C61*F61</f>
        <v>0</v>
      </c>
      <c r="K61" s="4"/>
      <c r="M61" s="51"/>
      <c r="N61" s="51"/>
      <c r="O61" s="232"/>
      <c r="P61" s="232"/>
      <c r="Q61" s="51"/>
    </row>
    <row r="62" spans="1:17" ht="12.75">
      <c r="A62" s="29"/>
      <c r="B62" s="35" t="s">
        <v>58</v>
      </c>
      <c r="C62" s="16">
        <v>2500</v>
      </c>
      <c r="D62" s="3" t="s">
        <v>52</v>
      </c>
      <c r="E62" s="3"/>
      <c r="F62" s="3">
        <v>0</v>
      </c>
      <c r="G62" s="3" t="s">
        <v>53</v>
      </c>
      <c r="H62" s="3"/>
      <c r="I62" s="1">
        <f>C62*F62</f>
        <v>0</v>
      </c>
      <c r="K62" s="4"/>
      <c r="M62" s="51"/>
      <c r="N62" s="51"/>
      <c r="O62" s="232"/>
      <c r="P62" s="232"/>
      <c r="Q62" s="51"/>
    </row>
    <row r="63" spans="1:17" ht="12.75">
      <c r="A63" s="29"/>
      <c r="B63" s="35"/>
      <c r="C63" s="16">
        <v>2500</v>
      </c>
      <c r="D63" s="3" t="s">
        <v>56</v>
      </c>
      <c r="E63" s="3"/>
      <c r="F63" s="3">
        <v>5</v>
      </c>
      <c r="G63" s="3" t="s">
        <v>53</v>
      </c>
      <c r="H63" s="3"/>
      <c r="I63" s="1">
        <v>0</v>
      </c>
      <c r="K63" s="4"/>
      <c r="M63" s="51"/>
      <c r="N63" s="51"/>
      <c r="O63" s="232"/>
      <c r="P63" s="232"/>
      <c r="Q63" s="51"/>
    </row>
    <row r="64" spans="1:17" ht="12.75">
      <c r="A64" s="52" t="s">
        <v>59</v>
      </c>
      <c r="B64" s="35" t="s">
        <v>60</v>
      </c>
      <c r="C64" s="16">
        <v>1216</v>
      </c>
      <c r="D64" s="3" t="s">
        <v>52</v>
      </c>
      <c r="E64" s="3"/>
      <c r="F64" s="3">
        <v>0</v>
      </c>
      <c r="G64" s="3" t="s">
        <v>53</v>
      </c>
      <c r="H64" s="3"/>
      <c r="I64" s="1">
        <v>25000</v>
      </c>
      <c r="K64" s="4"/>
      <c r="M64" s="51"/>
      <c r="N64" s="51"/>
      <c r="O64" s="232"/>
      <c r="P64" s="232"/>
      <c r="Q64" s="51"/>
    </row>
    <row r="65" spans="1:17" ht="12.75">
      <c r="A65" s="53"/>
      <c r="B65" s="35"/>
      <c r="C65" s="16">
        <v>0.75</v>
      </c>
      <c r="D65" s="3" t="s">
        <v>61</v>
      </c>
      <c r="E65" s="3"/>
      <c r="F65" s="54"/>
      <c r="G65" s="3" t="s">
        <v>62</v>
      </c>
      <c r="H65" s="3"/>
      <c r="I65" s="1">
        <v>0</v>
      </c>
      <c r="J65" s="167"/>
      <c r="K65" s="4"/>
      <c r="M65" s="51"/>
      <c r="N65" s="51"/>
      <c r="O65" s="232"/>
      <c r="P65" s="232"/>
      <c r="Q65" s="51"/>
    </row>
    <row r="66" spans="1:17" ht="12.75">
      <c r="A66" s="55" t="s">
        <v>63</v>
      </c>
      <c r="B66" s="15" t="s">
        <v>64</v>
      </c>
      <c r="C66" s="16">
        <v>5500</v>
      </c>
      <c r="D66" s="3" t="s">
        <v>52</v>
      </c>
      <c r="E66" s="3"/>
      <c r="F66" s="3">
        <v>0</v>
      </c>
      <c r="G66" s="3" t="s">
        <v>53</v>
      </c>
      <c r="H66" s="3"/>
      <c r="I66" s="1">
        <v>0</v>
      </c>
      <c r="K66" s="4"/>
      <c r="M66" s="51"/>
      <c r="N66" s="51"/>
      <c r="O66" s="232"/>
      <c r="P66" s="232"/>
      <c r="Q66" s="51"/>
    </row>
    <row r="67" spans="2:17" ht="12.75">
      <c r="B67" s="15"/>
      <c r="C67" s="16">
        <v>0</v>
      </c>
      <c r="D67" s="3" t="s">
        <v>56</v>
      </c>
      <c r="E67" s="3"/>
      <c r="F67" s="3">
        <v>0</v>
      </c>
      <c r="G67" s="3" t="s">
        <v>53</v>
      </c>
      <c r="H67" s="3" t="s">
        <v>65</v>
      </c>
      <c r="I67" s="1">
        <v>0</v>
      </c>
      <c r="K67" s="4"/>
      <c r="M67" s="51"/>
      <c r="N67" s="51"/>
      <c r="O67" s="232"/>
      <c r="P67" s="232"/>
      <c r="Q67" s="51"/>
    </row>
    <row r="68" spans="1:17" ht="12.75">
      <c r="A68" s="29"/>
      <c r="B68" s="15" t="s">
        <v>66</v>
      </c>
      <c r="C68" s="16">
        <v>0</v>
      </c>
      <c r="D68" s="3" t="s">
        <v>52</v>
      </c>
      <c r="E68" s="3"/>
      <c r="F68" s="3">
        <f>'Proforma 2'!B33</f>
        <v>0</v>
      </c>
      <c r="G68" s="3" t="s">
        <v>53</v>
      </c>
      <c r="H68" s="3"/>
      <c r="K68" s="4"/>
      <c r="M68" s="51"/>
      <c r="N68" s="51"/>
      <c r="O68" s="232"/>
      <c r="P68" s="232"/>
      <c r="Q68" s="51"/>
    </row>
    <row r="69" spans="1:17" ht="13.5" thickBot="1">
      <c r="A69" s="29"/>
      <c r="B69" s="15"/>
      <c r="C69" s="3"/>
      <c r="D69" s="3"/>
      <c r="E69" s="3"/>
      <c r="F69" s="3"/>
      <c r="G69" s="3"/>
      <c r="H69" s="3"/>
      <c r="K69" s="4"/>
      <c r="M69" s="51"/>
      <c r="N69" s="51"/>
      <c r="O69" s="232"/>
      <c r="P69" s="232"/>
      <c r="Q69" s="51"/>
    </row>
    <row r="70" spans="1:17" ht="13.5" thickBot="1">
      <c r="A70" s="38"/>
      <c r="B70" s="27" t="s">
        <v>16</v>
      </c>
      <c r="C70" s="3"/>
      <c r="D70" s="3"/>
      <c r="E70" s="3"/>
      <c r="F70" s="3"/>
      <c r="G70" s="3"/>
      <c r="H70" s="3"/>
      <c r="K70" s="28" t="e">
        <f>SUM(I53:I67)</f>
        <v>#REF!</v>
      </c>
      <c r="M70" s="51"/>
      <c r="N70" s="51"/>
      <c r="O70" s="232"/>
      <c r="P70" s="232"/>
      <c r="Q70" s="51"/>
    </row>
    <row r="71" spans="1:17" ht="12.75">
      <c r="A71" s="9" t="s">
        <v>67</v>
      </c>
      <c r="B71" s="10"/>
      <c r="C71" s="11"/>
      <c r="D71" s="11"/>
      <c r="E71" s="11"/>
      <c r="F71" s="11"/>
      <c r="G71" s="11"/>
      <c r="H71" s="11"/>
      <c r="I71" s="12"/>
      <c r="J71" s="12"/>
      <c r="K71" s="13"/>
      <c r="M71" s="51"/>
      <c r="N71" s="51"/>
      <c r="O71" s="232"/>
      <c r="P71" s="232"/>
      <c r="Q71" s="51"/>
    </row>
    <row r="72" spans="1:17" ht="12.75">
      <c r="A72" s="29"/>
      <c r="B72" s="15" t="s">
        <v>68</v>
      </c>
      <c r="C72" s="3"/>
      <c r="D72" s="3"/>
      <c r="E72" s="3"/>
      <c r="F72" s="3"/>
      <c r="G72" s="3"/>
      <c r="H72" s="3"/>
      <c r="I72" s="1">
        <v>5500</v>
      </c>
      <c r="K72" s="4"/>
      <c r="M72" s="51"/>
      <c r="N72" s="51"/>
      <c r="O72" s="232"/>
      <c r="P72" s="232"/>
      <c r="Q72" s="51"/>
    </row>
    <row r="73" spans="1:17" ht="12.75">
      <c r="A73" s="29"/>
      <c r="B73" s="15" t="s">
        <v>69</v>
      </c>
      <c r="C73" s="3"/>
      <c r="D73" s="3"/>
      <c r="E73" s="3"/>
      <c r="F73" s="3"/>
      <c r="G73" s="3" t="s">
        <v>43</v>
      </c>
      <c r="H73" s="3"/>
      <c r="K73" s="4"/>
      <c r="M73" s="51"/>
      <c r="N73" s="51"/>
      <c r="O73" s="232"/>
      <c r="P73" s="232"/>
      <c r="Q73" s="51"/>
    </row>
    <row r="74" spans="1:17" ht="12.75">
      <c r="A74" s="29"/>
      <c r="B74" s="15" t="s">
        <v>70</v>
      </c>
      <c r="C74" s="3"/>
      <c r="D74" s="3"/>
      <c r="E74" s="3"/>
      <c r="F74" s="3"/>
      <c r="G74" s="3" t="s">
        <v>43</v>
      </c>
      <c r="H74" s="3"/>
      <c r="K74" s="4"/>
      <c r="M74" s="51"/>
      <c r="N74" s="51"/>
      <c r="O74" s="232"/>
      <c r="P74" s="232"/>
      <c r="Q74" s="51"/>
    </row>
    <row r="75" spans="1:17" ht="12.75">
      <c r="A75" s="29"/>
      <c r="B75" s="15" t="s">
        <v>71</v>
      </c>
      <c r="C75" s="3"/>
      <c r="D75" s="3"/>
      <c r="E75" s="3"/>
      <c r="F75" s="3"/>
      <c r="G75" s="3"/>
      <c r="H75" s="3"/>
      <c r="K75" s="4"/>
      <c r="M75" s="51"/>
      <c r="N75" s="51"/>
      <c r="O75" s="232"/>
      <c r="P75" s="232"/>
      <c r="Q75" s="51"/>
    </row>
    <row r="76" spans="1:17" ht="13.5" thickBot="1">
      <c r="A76" s="29"/>
      <c r="B76" s="15" t="s">
        <v>72</v>
      </c>
      <c r="C76" s="3"/>
      <c r="D76" s="3"/>
      <c r="E76" s="3"/>
      <c r="F76" s="3"/>
      <c r="G76" s="3"/>
      <c r="H76" s="3"/>
      <c r="I76" s="1">
        <v>2500</v>
      </c>
      <c r="K76" s="4"/>
      <c r="M76" s="51"/>
      <c r="N76" s="51"/>
      <c r="O76" s="232"/>
      <c r="P76" s="232"/>
      <c r="Q76" s="51"/>
    </row>
    <row r="77" spans="1:17" ht="13.5" thickBot="1">
      <c r="A77" s="38"/>
      <c r="B77" s="27" t="s">
        <v>16</v>
      </c>
      <c r="C77" s="3"/>
      <c r="D77" s="3"/>
      <c r="E77" s="3"/>
      <c r="F77" s="3"/>
      <c r="G77" s="3"/>
      <c r="H77" s="3"/>
      <c r="K77" s="28">
        <f>SUM(I72:I76)</f>
        <v>8000</v>
      </c>
      <c r="M77" s="51"/>
      <c r="N77" s="51"/>
      <c r="O77" s="232"/>
      <c r="P77" s="232"/>
      <c r="Q77" s="51"/>
    </row>
    <row r="78" spans="1:17" ht="12.75">
      <c r="A78" s="9" t="s">
        <v>73</v>
      </c>
      <c r="B78" s="56"/>
      <c r="C78" s="11"/>
      <c r="D78" s="11"/>
      <c r="E78" s="11"/>
      <c r="F78" s="11"/>
      <c r="G78" s="11"/>
      <c r="H78" s="11"/>
      <c r="I78" s="12"/>
      <c r="J78" s="12"/>
      <c r="K78" s="13"/>
      <c r="M78" s="51"/>
      <c r="N78" s="51"/>
      <c r="O78" s="232"/>
      <c r="P78" s="232"/>
      <c r="Q78" s="51"/>
    </row>
    <row r="79" spans="1:17" ht="12.75">
      <c r="A79" s="26"/>
      <c r="B79" s="15" t="s">
        <v>74</v>
      </c>
      <c r="C79" s="30">
        <v>0.01</v>
      </c>
      <c r="D79" s="3" t="s">
        <v>75</v>
      </c>
      <c r="E79" s="3"/>
      <c r="F79" s="3"/>
      <c r="G79" s="3"/>
      <c r="H79" s="3"/>
      <c r="I79" s="1" t="e">
        <f>C79*'Proforma 2'!#REF!</f>
        <v>#REF!</v>
      </c>
      <c r="K79" s="4"/>
      <c r="M79" s="51"/>
      <c r="N79" s="51"/>
      <c r="O79" s="232"/>
      <c r="P79" s="232"/>
      <c r="Q79" s="51"/>
    </row>
    <row r="80" spans="1:17" ht="12.75">
      <c r="A80" s="26"/>
      <c r="B80" s="15" t="s">
        <v>76</v>
      </c>
      <c r="C80" s="3"/>
      <c r="D80" s="3"/>
      <c r="E80" s="3"/>
      <c r="F80" s="3"/>
      <c r="G80" s="3"/>
      <c r="H80" s="3"/>
      <c r="I80" s="1">
        <f>3644+0</f>
        <v>3644</v>
      </c>
      <c r="K80" s="4"/>
      <c r="M80" s="51"/>
      <c r="N80" s="51"/>
      <c r="O80" s="232"/>
      <c r="P80" s="232"/>
      <c r="Q80" s="51"/>
    </row>
    <row r="81" spans="1:17" ht="12.75">
      <c r="A81" s="26"/>
      <c r="B81" s="15" t="s">
        <v>77</v>
      </c>
      <c r="C81" s="3"/>
      <c r="D81" s="3"/>
      <c r="E81" s="3"/>
      <c r="F81" s="3"/>
      <c r="G81" s="3"/>
      <c r="H81" s="3"/>
      <c r="I81" s="1" t="e">
        <f>'Proforma 2'!#REF!</f>
        <v>#REF!</v>
      </c>
      <c r="K81" s="4"/>
      <c r="M81" s="51"/>
      <c r="N81" s="51"/>
      <c r="O81" s="232"/>
      <c r="P81" s="232"/>
      <c r="Q81" s="51"/>
    </row>
    <row r="82" spans="1:17" ht="12.75">
      <c r="A82" s="26"/>
      <c r="B82" s="15" t="s">
        <v>154</v>
      </c>
      <c r="C82" s="3"/>
      <c r="D82" s="3"/>
      <c r="E82" s="3"/>
      <c r="F82" s="3"/>
      <c r="G82" s="3"/>
      <c r="H82" s="3"/>
      <c r="I82" s="1">
        <v>0</v>
      </c>
      <c r="K82" s="4"/>
      <c r="M82" s="51"/>
      <c r="N82" s="51"/>
      <c r="O82" s="232"/>
      <c r="P82" s="232"/>
      <c r="Q82" s="51"/>
    </row>
    <row r="83" spans="1:17" ht="12.75">
      <c r="A83" s="26"/>
      <c r="B83" s="15" t="s">
        <v>78</v>
      </c>
      <c r="C83" s="3"/>
      <c r="D83" s="3"/>
      <c r="E83" s="3"/>
      <c r="F83" s="3"/>
      <c r="G83" s="3"/>
      <c r="H83" s="3"/>
      <c r="I83" s="1">
        <v>0</v>
      </c>
      <c r="K83" s="4"/>
      <c r="M83" s="51"/>
      <c r="N83" s="51"/>
      <c r="O83" s="232"/>
      <c r="P83" s="232"/>
      <c r="Q83" s="51"/>
    </row>
    <row r="84" spans="1:17" ht="12.75">
      <c r="A84" s="26"/>
      <c r="B84" s="35" t="s">
        <v>142</v>
      </c>
      <c r="C84" s="3"/>
      <c r="D84" s="3"/>
      <c r="E84" s="3"/>
      <c r="F84" s="3"/>
      <c r="G84" s="3"/>
      <c r="H84" s="3"/>
      <c r="I84" s="1">
        <f>-'Proforma 2'!H40</f>
        <v>0</v>
      </c>
      <c r="K84" s="4"/>
      <c r="M84" s="51"/>
      <c r="N84" s="51"/>
      <c r="O84" s="232"/>
      <c r="P84" s="232"/>
      <c r="Q84" s="51"/>
    </row>
    <row r="85" spans="1:17" ht="12.75">
      <c r="A85" s="29"/>
      <c r="B85" s="15" t="s">
        <v>147</v>
      </c>
      <c r="C85" s="3"/>
      <c r="D85" s="3"/>
      <c r="E85" s="3"/>
      <c r="F85" s="3"/>
      <c r="G85" s="3"/>
      <c r="H85" s="3"/>
      <c r="I85" s="1">
        <v>18500</v>
      </c>
      <c r="K85" s="4"/>
      <c r="M85" s="51"/>
      <c r="N85" s="51"/>
      <c r="O85" s="232"/>
      <c r="P85" s="232"/>
      <c r="Q85" s="51"/>
    </row>
    <row r="86" spans="1:17" ht="13.5" thickBot="1">
      <c r="A86" s="26"/>
      <c r="B86" s="241" t="s">
        <v>146</v>
      </c>
      <c r="C86" s="3"/>
      <c r="D86" s="3"/>
      <c r="E86" s="3"/>
      <c r="F86" s="3"/>
      <c r="G86" s="3"/>
      <c r="H86" s="3"/>
      <c r="I86" s="1">
        <v>531</v>
      </c>
      <c r="K86" s="4"/>
      <c r="M86" s="51"/>
      <c r="N86" s="51"/>
      <c r="O86" s="232"/>
      <c r="P86" s="232"/>
      <c r="Q86" s="51"/>
    </row>
    <row r="87" spans="1:17" ht="13.5" thickBot="1">
      <c r="A87" s="26"/>
      <c r="B87" s="27" t="s">
        <v>16</v>
      </c>
      <c r="C87" s="3"/>
      <c r="D87" s="3"/>
      <c r="E87" s="3"/>
      <c r="F87" s="3"/>
      <c r="G87" s="3"/>
      <c r="H87" s="3"/>
      <c r="K87" s="28" t="e">
        <f>SUM(I79:I86)</f>
        <v>#REF!</v>
      </c>
      <c r="M87" s="51"/>
      <c r="N87" s="51"/>
      <c r="O87" s="232"/>
      <c r="P87" s="232"/>
      <c r="Q87" s="51"/>
    </row>
    <row r="88" spans="1:17" ht="12.75">
      <c r="A88" s="9" t="s">
        <v>79</v>
      </c>
      <c r="B88" s="10"/>
      <c r="C88" s="11"/>
      <c r="D88" s="11"/>
      <c r="E88" s="11"/>
      <c r="F88" s="11"/>
      <c r="G88" s="11"/>
      <c r="H88" s="11"/>
      <c r="I88" s="12"/>
      <c r="J88" s="12"/>
      <c r="K88" s="13"/>
      <c r="M88" s="51"/>
      <c r="N88" s="51"/>
      <c r="O88" s="232"/>
      <c r="P88" s="232"/>
      <c r="Q88" s="51"/>
    </row>
    <row r="89" spans="1:17" ht="12.75">
      <c r="A89" s="29"/>
      <c r="B89" s="15" t="s">
        <v>80</v>
      </c>
      <c r="C89" s="30">
        <v>0</v>
      </c>
      <c r="D89" s="3"/>
      <c r="E89" s="3"/>
      <c r="F89" s="3"/>
      <c r="G89" s="3"/>
      <c r="H89" s="3"/>
      <c r="I89" s="1" t="e">
        <f>C89*'Proforma 2'!#REF!</f>
        <v>#REF!</v>
      </c>
      <c r="K89" s="4"/>
      <c r="M89" s="51"/>
      <c r="N89" s="51"/>
      <c r="O89" s="232"/>
      <c r="P89" s="232"/>
      <c r="Q89" s="51"/>
    </row>
    <row r="90" spans="1:17" ht="12.75">
      <c r="A90" s="29"/>
      <c r="B90" s="15" t="s">
        <v>76</v>
      </c>
      <c r="C90" s="3"/>
      <c r="D90" s="3"/>
      <c r="E90" s="3"/>
      <c r="F90" s="3"/>
      <c r="G90" s="3"/>
      <c r="H90" s="3"/>
      <c r="K90" s="4"/>
      <c r="M90" s="51"/>
      <c r="N90" s="51"/>
      <c r="O90" s="232"/>
      <c r="P90" s="232"/>
      <c r="Q90" s="51"/>
    </row>
    <row r="91" spans="1:17" ht="12.75">
      <c r="A91" s="29"/>
      <c r="B91" s="15" t="s">
        <v>81</v>
      </c>
      <c r="C91" s="3"/>
      <c r="D91" s="3"/>
      <c r="E91" s="3"/>
      <c r="F91" s="3"/>
      <c r="G91" s="3"/>
      <c r="H91" s="3"/>
      <c r="K91" s="4"/>
      <c r="M91" s="51"/>
      <c r="N91" s="51"/>
      <c r="O91" s="232"/>
      <c r="P91" s="232"/>
      <c r="Q91" s="51"/>
    </row>
    <row r="92" spans="1:17" ht="13.5" thickBot="1">
      <c r="A92" s="29"/>
      <c r="B92" s="15"/>
      <c r="C92" s="3"/>
      <c r="D92" s="3"/>
      <c r="E92" s="3"/>
      <c r="F92" s="3"/>
      <c r="G92" s="3"/>
      <c r="H92" s="3"/>
      <c r="K92" s="4"/>
      <c r="M92" s="51"/>
      <c r="N92" s="51"/>
      <c r="O92" s="232"/>
      <c r="P92" s="232"/>
      <c r="Q92" s="51"/>
    </row>
    <row r="93" spans="1:17" ht="13.5" thickBot="1">
      <c r="A93" s="57"/>
      <c r="B93" s="58" t="s">
        <v>16</v>
      </c>
      <c r="C93" s="41"/>
      <c r="D93" s="41"/>
      <c r="E93" s="41"/>
      <c r="F93" s="41"/>
      <c r="G93" s="41"/>
      <c r="H93" s="41"/>
      <c r="I93" s="42"/>
      <c r="J93" s="42"/>
      <c r="K93" s="28" t="e">
        <f>SUM(I89:I92)</f>
        <v>#REF!</v>
      </c>
      <c r="M93" s="51"/>
      <c r="N93" s="51"/>
      <c r="O93" s="232"/>
      <c r="P93" s="232"/>
      <c r="Q93" s="51"/>
    </row>
    <row r="94" spans="1:17" ht="12.75">
      <c r="A94" s="59" t="s">
        <v>82</v>
      </c>
      <c r="B94" s="60"/>
      <c r="C94" s="61"/>
      <c r="D94" s="61"/>
      <c r="E94" s="61"/>
      <c r="F94" s="61"/>
      <c r="G94" s="61"/>
      <c r="H94" s="61"/>
      <c r="I94" s="62"/>
      <c r="J94" s="62"/>
      <c r="K94" s="63"/>
      <c r="M94" s="51"/>
      <c r="N94" s="51"/>
      <c r="O94" s="232"/>
      <c r="P94" s="232"/>
      <c r="Q94" s="51"/>
    </row>
    <row r="95" spans="1:17" ht="12.75">
      <c r="A95" s="29"/>
      <c r="B95" s="15" t="s">
        <v>11</v>
      </c>
      <c r="C95" s="3"/>
      <c r="D95" s="3"/>
      <c r="E95" s="3"/>
      <c r="F95" s="3"/>
      <c r="G95" s="3"/>
      <c r="H95" s="3"/>
      <c r="I95" s="1">
        <v>0</v>
      </c>
      <c r="K95" s="4"/>
      <c r="M95" s="51"/>
      <c r="N95" s="51"/>
      <c r="O95" s="232"/>
      <c r="P95" s="232"/>
      <c r="Q95" s="51"/>
    </row>
    <row r="96" spans="1:17" ht="12.75">
      <c r="A96" s="29"/>
      <c r="B96" s="15"/>
      <c r="C96" s="3"/>
      <c r="D96" s="3"/>
      <c r="E96" s="3"/>
      <c r="F96" s="3"/>
      <c r="G96" s="3"/>
      <c r="H96" s="17"/>
      <c r="K96" s="4"/>
      <c r="M96" s="51"/>
      <c r="N96" s="51"/>
      <c r="O96" s="232"/>
      <c r="P96" s="232"/>
      <c r="Q96" s="51"/>
    </row>
    <row r="97" spans="1:17" ht="12.75">
      <c r="A97" s="29"/>
      <c r="B97" s="15" t="s">
        <v>83</v>
      </c>
      <c r="C97" s="3"/>
      <c r="D97" s="3"/>
      <c r="E97" s="3"/>
      <c r="F97" s="3"/>
      <c r="G97" s="3"/>
      <c r="H97" s="3"/>
      <c r="I97" s="1">
        <v>0</v>
      </c>
      <c r="K97" s="4"/>
      <c r="M97" s="51"/>
      <c r="N97" s="51"/>
      <c r="O97" s="232"/>
      <c r="P97" s="232"/>
      <c r="Q97" s="51"/>
    </row>
    <row r="98" spans="1:17" ht="12.75">
      <c r="A98" s="29"/>
      <c r="B98" s="15" t="s">
        <v>84</v>
      </c>
      <c r="C98" s="3"/>
      <c r="D98" s="3"/>
      <c r="E98" s="3"/>
      <c r="F98" s="3"/>
      <c r="G98" s="3"/>
      <c r="H98" s="3"/>
      <c r="I98" s="1">
        <v>0</v>
      </c>
      <c r="K98" s="4"/>
      <c r="M98" s="51"/>
      <c r="N98" s="51"/>
      <c r="O98" s="232"/>
      <c r="P98" s="232"/>
      <c r="Q98" s="51"/>
    </row>
    <row r="99" spans="1:17" ht="12.75">
      <c r="A99" s="29"/>
      <c r="B99" s="15" t="s">
        <v>85</v>
      </c>
      <c r="C99" s="3"/>
      <c r="D99" s="3"/>
      <c r="E99" s="3"/>
      <c r="F99" s="3"/>
      <c r="G99" s="3"/>
      <c r="H99" s="3"/>
      <c r="I99" s="1">
        <v>0</v>
      </c>
      <c r="K99" s="4"/>
      <c r="M99" s="51"/>
      <c r="N99" s="51"/>
      <c r="O99" s="232"/>
      <c r="P99" s="232"/>
      <c r="Q99" s="51"/>
    </row>
    <row r="100" spans="1:17" ht="12.75">
      <c r="A100" s="29"/>
      <c r="B100" s="15" t="s">
        <v>86</v>
      </c>
      <c r="C100" s="3"/>
      <c r="D100" s="3"/>
      <c r="E100" s="3"/>
      <c r="F100" s="3"/>
      <c r="G100" s="3"/>
      <c r="H100" s="17">
        <v>0</v>
      </c>
      <c r="I100" s="1">
        <f>H100*3*'Proforma 2'!D43*0.5</f>
        <v>0</v>
      </c>
      <c r="K100" s="4"/>
      <c r="M100" s="51"/>
      <c r="N100" s="51"/>
      <c r="O100" s="232"/>
      <c r="P100" s="232"/>
      <c r="Q100" s="51"/>
    </row>
    <row r="101" spans="1:17" ht="12.75">
      <c r="A101" s="29"/>
      <c r="B101" s="15" t="s">
        <v>87</v>
      </c>
      <c r="C101" s="3"/>
      <c r="D101" s="3"/>
      <c r="E101" s="3"/>
      <c r="F101" s="3"/>
      <c r="G101" s="3"/>
      <c r="H101" s="3"/>
      <c r="K101" s="4"/>
      <c r="M101" s="51"/>
      <c r="N101" s="51"/>
      <c r="O101" s="232"/>
      <c r="P101" s="232"/>
      <c r="Q101" s="51"/>
    </row>
    <row r="102" spans="1:17" ht="13.5" thickBot="1">
      <c r="A102" s="29"/>
      <c r="B102" s="15"/>
      <c r="C102" s="3"/>
      <c r="D102" s="3"/>
      <c r="E102" s="3"/>
      <c r="F102" s="3"/>
      <c r="G102" s="3"/>
      <c r="H102" s="3"/>
      <c r="K102" s="4"/>
      <c r="M102" s="51"/>
      <c r="N102" s="51"/>
      <c r="O102" s="232"/>
      <c r="P102" s="232"/>
      <c r="Q102" s="51"/>
    </row>
    <row r="103" spans="1:17" ht="13.5" thickBot="1">
      <c r="A103" s="64"/>
      <c r="B103" s="58" t="s">
        <v>16</v>
      </c>
      <c r="C103" s="41"/>
      <c r="D103" s="41"/>
      <c r="E103" s="41"/>
      <c r="F103" s="41"/>
      <c r="G103" s="41"/>
      <c r="H103" s="41"/>
      <c r="I103" s="42"/>
      <c r="J103" s="42"/>
      <c r="K103" s="28">
        <f>SUM(I95:I101)</f>
        <v>0</v>
      </c>
      <c r="M103" s="51"/>
      <c r="N103" s="51"/>
      <c r="O103" s="232"/>
      <c r="P103" s="232"/>
      <c r="Q103" s="51"/>
    </row>
    <row r="104" spans="1:17" ht="13.5" thickBot="1">
      <c r="A104" s="2"/>
      <c r="B104" s="35" t="s">
        <v>44</v>
      </c>
      <c r="C104" s="3"/>
      <c r="D104" s="3"/>
      <c r="E104" s="3"/>
      <c r="F104" s="3"/>
      <c r="G104" s="3"/>
      <c r="H104" s="3"/>
      <c r="K104" s="28">
        <v>25000</v>
      </c>
      <c r="M104" s="51"/>
      <c r="N104" s="51"/>
      <c r="O104" s="232"/>
      <c r="P104" s="232"/>
      <c r="Q104" s="51"/>
    </row>
    <row r="105" spans="1:17" ht="12.75">
      <c r="A105" s="65" t="s">
        <v>88</v>
      </c>
      <c r="B105" s="66"/>
      <c r="C105" s="11"/>
      <c r="D105" s="11"/>
      <c r="E105" s="11"/>
      <c r="F105" s="11"/>
      <c r="G105" s="11"/>
      <c r="H105" s="11"/>
      <c r="I105" s="12" t="e">
        <f>K105/(K4+K19)</f>
        <v>#REF!</v>
      </c>
      <c r="J105" s="12"/>
      <c r="K105" s="67" t="e">
        <f>SUM(K31:K104)</f>
        <v>#REF!</v>
      </c>
      <c r="M105" s="51"/>
      <c r="N105" s="51"/>
      <c r="O105" s="232"/>
      <c r="P105" s="232"/>
      <c r="Q105" s="51"/>
    </row>
    <row r="106" spans="1:17" ht="12.75">
      <c r="A106" s="2"/>
      <c r="B106" s="3"/>
      <c r="C106" s="3"/>
      <c r="D106" s="3"/>
      <c r="E106" s="3"/>
      <c r="F106" s="3"/>
      <c r="G106" s="3"/>
      <c r="H106" s="3"/>
      <c r="K106" s="4"/>
      <c r="M106" s="51"/>
      <c r="N106" s="51"/>
      <c r="O106" s="232"/>
      <c r="P106" s="232"/>
      <c r="Q106" s="51"/>
    </row>
    <row r="107" spans="1:17" ht="13.5" thickBot="1">
      <c r="A107" s="2"/>
      <c r="B107" s="3"/>
      <c r="C107" s="3"/>
      <c r="D107" s="3"/>
      <c r="E107" s="3"/>
      <c r="F107" s="3"/>
      <c r="G107" s="3"/>
      <c r="H107" s="3"/>
      <c r="K107" s="4"/>
      <c r="M107" s="51"/>
      <c r="N107" s="51"/>
      <c r="O107" s="232"/>
      <c r="P107" s="232"/>
      <c r="Q107" s="51"/>
    </row>
    <row r="108" spans="1:17" ht="16.5" thickBot="1" thickTop="1">
      <c r="A108" s="68" t="s">
        <v>89</v>
      </c>
      <c r="B108" s="69"/>
      <c r="C108" s="70"/>
      <c r="D108" s="70"/>
      <c r="E108" s="70"/>
      <c r="F108" s="70"/>
      <c r="G108" s="70"/>
      <c r="H108" s="70"/>
      <c r="I108" s="71"/>
      <c r="J108" s="71"/>
      <c r="K108" s="72" t="e">
        <f>SUM(K4:K104)</f>
        <v>#REF!</v>
      </c>
      <c r="M108" s="51"/>
      <c r="N108" s="51"/>
      <c r="O108" s="234"/>
      <c r="P108" s="232"/>
      <c r="Q108" s="51"/>
    </row>
    <row r="109" spans="13:17" ht="13.5" thickTop="1">
      <c r="M109" s="51"/>
      <c r="N109" s="51"/>
      <c r="O109" s="51"/>
      <c r="P109" s="51"/>
      <c r="Q109" s="51"/>
    </row>
    <row r="110" spans="13:17" ht="12.75">
      <c r="M110" s="51"/>
      <c r="N110" s="51"/>
      <c r="O110" s="51"/>
      <c r="P110" s="51"/>
      <c r="Q110" s="51"/>
    </row>
  </sheetData>
  <sheetProtection selectLockedCells="1" selectUnlockedCells="1"/>
  <mergeCells count="2">
    <mergeCell ref="A1:K1"/>
    <mergeCell ref="A3:K3"/>
  </mergeCells>
  <hyperlinks>
    <hyperlink ref="A64" r:id="rId1" display="http://www.portlandtransportation.org/SystemDevelopmentCharge/Rates.htm"/>
    <hyperlink ref="A66" r:id="rId2" display="http://www.portlandparks.org/Planning/SystemDevCharge.htm"/>
  </hyperlinks>
  <printOptions/>
  <pageMargins left="0.75" right="0.75" top="1" bottom="1" header="0.511805555555556" footer="0.511805555555556"/>
  <pageSetup horizontalDpi="600" verticalDpi="600" orientation="portrait" paperSize="3" scale="70" r:id="rId3"/>
</worksheet>
</file>

<file path=xl/worksheets/sheet2.xml><?xml version="1.0" encoding="utf-8"?>
<worksheet xmlns="http://schemas.openxmlformats.org/spreadsheetml/2006/main" xmlns:r="http://schemas.openxmlformats.org/officeDocument/2006/relationships">
  <sheetPr>
    <pageSetUpPr fitToPage="1"/>
  </sheetPr>
  <dimension ref="A1:T92"/>
  <sheetViews>
    <sheetView zoomScale="85" zoomScaleNormal="85" zoomScalePageLayoutView="0" workbookViewId="0" topLeftCell="A1">
      <selection activeCell="F8" sqref="F8"/>
    </sheetView>
  </sheetViews>
  <sheetFormatPr defaultColWidth="9.140625" defaultRowHeight="12.75"/>
  <cols>
    <col min="1" max="1" width="33.00390625" style="0" customWidth="1"/>
    <col min="2" max="2" width="7.421875" style="0" customWidth="1"/>
    <col min="3" max="3" width="12.7109375" style="0" customWidth="1"/>
    <col min="4" max="4" width="14.57421875" style="0" customWidth="1"/>
    <col min="5" max="5" width="12.421875" style="0" customWidth="1"/>
    <col min="6" max="6" width="13.57421875" style="0" customWidth="1"/>
    <col min="7" max="7" width="35.28125" style="0" customWidth="1"/>
    <col min="8" max="8" width="12.421875" style="0" customWidth="1"/>
    <col min="9" max="9" width="12.7109375" style="0" customWidth="1"/>
    <col min="10" max="10" width="12.8515625" style="0" customWidth="1"/>
    <col min="11" max="17" width="12.7109375" style="0" customWidth="1"/>
    <col min="18" max="19" width="12.8515625" style="0" customWidth="1"/>
  </cols>
  <sheetData>
    <row r="1" spans="1:9" ht="23.25" customHeight="1">
      <c r="A1" s="317" t="s">
        <v>216</v>
      </c>
      <c r="B1" s="317"/>
      <c r="C1" s="317"/>
      <c r="D1" s="317"/>
      <c r="E1" s="317"/>
      <c r="F1" s="317"/>
      <c r="G1" s="317"/>
      <c r="H1" s="317"/>
      <c r="I1" s="317"/>
    </row>
    <row r="2" spans="1:9" ht="12.75" customHeight="1">
      <c r="A2" s="73"/>
      <c r="B2" s="74"/>
      <c r="C2" s="74"/>
      <c r="D2" s="74"/>
      <c r="E2" s="74"/>
      <c r="F2" s="74"/>
      <c r="G2" s="74"/>
      <c r="H2" s="74"/>
      <c r="I2" s="75"/>
    </row>
    <row r="3" spans="1:9" ht="12.75" customHeight="1">
      <c r="A3" s="318">
        <v>43837</v>
      </c>
      <c r="B3" s="318"/>
      <c r="C3" s="318"/>
      <c r="D3" s="318"/>
      <c r="E3" s="318"/>
      <c r="F3" s="318"/>
      <c r="G3" s="318"/>
      <c r="H3" s="318"/>
      <c r="I3" s="318"/>
    </row>
    <row r="4" ht="4.5" customHeight="1"/>
    <row r="5" spans="1:19" ht="12.75">
      <c r="A5" s="315" t="s">
        <v>90</v>
      </c>
      <c r="B5" s="315"/>
      <c r="C5" s="315"/>
      <c r="D5" s="315"/>
      <c r="E5" s="315"/>
      <c r="G5" s="315" t="s">
        <v>181</v>
      </c>
      <c r="H5" s="315"/>
      <c r="I5" s="315"/>
      <c r="K5" s="51"/>
      <c r="L5" s="316"/>
      <c r="M5" s="316"/>
      <c r="N5" s="316"/>
      <c r="O5" s="51"/>
      <c r="P5" s="51"/>
      <c r="Q5" s="51"/>
      <c r="R5" s="51"/>
      <c r="S5" s="51"/>
    </row>
    <row r="6" spans="1:19" ht="12.75">
      <c r="A6" s="76" t="s">
        <v>91</v>
      </c>
      <c r="B6" s="77"/>
      <c r="C6" s="78"/>
      <c r="D6" s="78"/>
      <c r="E6" s="79">
        <v>9000</v>
      </c>
      <c r="G6" s="83"/>
      <c r="H6" s="282" t="s">
        <v>182</v>
      </c>
      <c r="I6" s="283" t="s">
        <v>152</v>
      </c>
      <c r="K6" s="51"/>
      <c r="L6" s="80"/>
      <c r="M6" s="51"/>
      <c r="Q6" s="51"/>
      <c r="R6" s="51"/>
      <c r="S6" s="51"/>
    </row>
    <row r="7" spans="1:19" ht="12.75">
      <c r="A7" s="3"/>
      <c r="B7" s="231" t="s">
        <v>173</v>
      </c>
      <c r="C7" s="231" t="s">
        <v>178</v>
      </c>
      <c r="D7" s="231" t="s">
        <v>174</v>
      </c>
      <c r="E7" s="88">
        <v>2</v>
      </c>
      <c r="G7" s="90" t="s">
        <v>183</v>
      </c>
      <c r="H7" s="284">
        <f>I7</f>
        <v>3450000</v>
      </c>
      <c r="I7" s="285">
        <v>3450000</v>
      </c>
      <c r="K7" s="51"/>
      <c r="L7" s="84"/>
      <c r="M7" s="85"/>
      <c r="Q7" s="51"/>
      <c r="R7" s="86"/>
      <c r="S7" s="86"/>
    </row>
    <row r="8" spans="1:19" ht="12.75">
      <c r="A8" s="267" t="s">
        <v>192</v>
      </c>
      <c r="B8" s="268"/>
      <c r="C8" s="269"/>
      <c r="D8" s="270">
        <f>E8/(E25-E18-E19-E20)</f>
        <v>0.05374899220639613</v>
      </c>
      <c r="E8" s="271">
        <v>600</v>
      </c>
      <c r="F8" s="281">
        <v>1700</v>
      </c>
      <c r="G8" s="83" t="s">
        <v>92</v>
      </c>
      <c r="H8" s="310">
        <v>0.0337</v>
      </c>
      <c r="I8" s="286">
        <v>0.0423</v>
      </c>
      <c r="K8" s="51"/>
      <c r="L8" s="86"/>
      <c r="M8" s="86"/>
      <c r="Q8" s="86"/>
      <c r="R8" s="86"/>
      <c r="S8" s="86"/>
    </row>
    <row r="9" spans="1:19" ht="12.75">
      <c r="A9" s="204" t="s">
        <v>193</v>
      </c>
      <c r="B9" s="3"/>
      <c r="C9" s="3"/>
      <c r="D9" s="256">
        <f>E9/(E25-E18-E19-E20)</f>
        <v>0.05267401236226821</v>
      </c>
      <c r="E9" s="295">
        <v>588</v>
      </c>
      <c r="F9" s="281">
        <v>1666</v>
      </c>
      <c r="G9" s="83" t="s">
        <v>184</v>
      </c>
      <c r="H9">
        <v>25</v>
      </c>
      <c r="I9" s="89">
        <v>25</v>
      </c>
      <c r="J9" s="242"/>
      <c r="K9" s="51"/>
      <c r="L9" s="84"/>
      <c r="M9" s="86"/>
      <c r="Q9" s="86"/>
      <c r="R9" s="86"/>
      <c r="S9" s="86"/>
    </row>
    <row r="10" spans="1:19" ht="12.75">
      <c r="A10" s="204" t="s">
        <v>194</v>
      </c>
      <c r="B10" s="3"/>
      <c r="C10" s="3"/>
      <c r="D10" s="256">
        <f>E10/(E25-E18-E19-E20)</f>
        <v>0.07238197617128012</v>
      </c>
      <c r="E10" s="295">
        <v>808</v>
      </c>
      <c r="F10" s="281">
        <v>2500</v>
      </c>
      <c r="G10" s="83" t="s">
        <v>185</v>
      </c>
      <c r="H10" s="311">
        <f>H14/-H17</f>
        <v>1.3836578041498253</v>
      </c>
      <c r="I10" s="89"/>
      <c r="K10" s="294"/>
      <c r="L10" s="84"/>
      <c r="M10" s="86"/>
      <c r="Q10" s="86"/>
      <c r="R10" s="86"/>
      <c r="S10" s="86"/>
    </row>
    <row r="11" spans="1:19" ht="12.75">
      <c r="A11" s="204" t="s">
        <v>158</v>
      </c>
      <c r="B11" s="256">
        <f>E11/(E11+E12+E13+E14+E15+E16+E17)</f>
        <v>0.36500490891240317</v>
      </c>
      <c r="C11" s="256"/>
      <c r="D11" s="256">
        <f>E11/(E25-E18-E19-E20)</f>
        <v>0.29974021320433575</v>
      </c>
      <c r="E11" s="272">
        <f>1874+1472</f>
        <v>3346</v>
      </c>
      <c r="F11" s="281">
        <v>6971</v>
      </c>
      <c r="G11" s="83" t="s">
        <v>93</v>
      </c>
      <c r="I11" s="287">
        <f>I14/I15</f>
        <v>4713267.666666667</v>
      </c>
      <c r="K11" s="294"/>
      <c r="L11" s="84"/>
      <c r="M11" s="86"/>
      <c r="Q11" s="86"/>
      <c r="R11" s="86"/>
      <c r="S11" s="86"/>
    </row>
    <row r="12" spans="1:19" ht="12" customHeight="1">
      <c r="A12" s="204" t="s">
        <v>195</v>
      </c>
      <c r="B12" s="256">
        <f>E12/(E11+E12+E13+E14+E15+E16+E17)</f>
        <v>0.08726955383440602</v>
      </c>
      <c r="C12" s="256"/>
      <c r="D12" s="256">
        <f>E12/(E25-E18-E19-E20)</f>
        <v>0.07166532294186151</v>
      </c>
      <c r="E12" s="272">
        <v>800</v>
      </c>
      <c r="F12" s="281">
        <v>2380</v>
      </c>
      <c r="G12" s="83" t="s">
        <v>186</v>
      </c>
      <c r="I12" s="309">
        <f>I7/I11</f>
        <v>0.7319762517200558</v>
      </c>
      <c r="K12" s="294"/>
      <c r="L12" s="84"/>
      <c r="M12" s="93"/>
      <c r="Q12" s="51"/>
      <c r="R12" s="51"/>
      <c r="S12" s="51"/>
    </row>
    <row r="13" spans="1:19" ht="12.75">
      <c r="A13" s="204" t="s">
        <v>197</v>
      </c>
      <c r="B13" s="256">
        <f>E13/(E11+E12+E13+E14+E15+E16+E17)</f>
        <v>0.11617759354205302</v>
      </c>
      <c r="C13" s="256">
        <f>E13/(E13+E14+E15+E16+E17)</f>
        <v>0.21210914160525793</v>
      </c>
      <c r="D13" s="256">
        <f>E13/(E25-E18-E19-E20)</f>
        <v>0.09540446116635314</v>
      </c>
      <c r="E13" s="272">
        <v>1065</v>
      </c>
      <c r="F13" s="281">
        <v>3300</v>
      </c>
      <c r="G13" s="202" t="s">
        <v>191</v>
      </c>
      <c r="I13" s="288">
        <f>I11/E24</f>
        <v>381.62484303531346</v>
      </c>
      <c r="K13" s="294"/>
      <c r="L13" s="84"/>
      <c r="M13" s="93"/>
      <c r="Q13" s="51"/>
      <c r="R13" s="51"/>
      <c r="S13" s="51"/>
    </row>
    <row r="14" spans="1:19" ht="12.75">
      <c r="A14" s="204" t="s">
        <v>177</v>
      </c>
      <c r="B14" s="256">
        <f>E14/(E11+E12+E13+E14+E15+E16+E17)</f>
        <v>0.09097850987236827</v>
      </c>
      <c r="C14" s="256">
        <f>E14/(E13+E14+E15+E16+E17)</f>
        <v>0.1661023700458076</v>
      </c>
      <c r="D14" s="256">
        <f>E14/(E25-E18-E19-E20)</f>
        <v>0.07471109916689062</v>
      </c>
      <c r="E14" s="272">
        <v>834</v>
      </c>
      <c r="F14" s="281">
        <v>2406</v>
      </c>
      <c r="G14" s="83" t="s">
        <v>187</v>
      </c>
      <c r="H14" s="289">
        <f>E58</f>
        <v>282796.06</v>
      </c>
      <c r="I14" s="285">
        <f>E58</f>
        <v>282796.06</v>
      </c>
      <c r="J14" s="3"/>
      <c r="K14" s="51"/>
      <c r="L14" s="84"/>
      <c r="M14" s="93"/>
      <c r="Q14" s="51"/>
      <c r="R14" s="51"/>
      <c r="S14" s="51"/>
    </row>
    <row r="15" spans="1:19" ht="12.75">
      <c r="A15" s="204" t="s">
        <v>196</v>
      </c>
      <c r="B15" s="256">
        <f>E15/(E11+E12+E13+E14+E15+E16+E17)</f>
        <v>0.09719646558306971</v>
      </c>
      <c r="C15" s="256">
        <f>E15/(E13+E14+E15+E16+E17)</f>
        <v>0.1774546903007369</v>
      </c>
      <c r="D15" s="256">
        <f>E15/(E25-E18-E19-E20)</f>
        <v>0.07981725342649826</v>
      </c>
      <c r="E15" s="272">
        <v>891</v>
      </c>
      <c r="F15" s="281">
        <v>2570</v>
      </c>
      <c r="G15" s="83" t="s">
        <v>188</v>
      </c>
      <c r="I15" s="308">
        <v>0.06</v>
      </c>
      <c r="J15" s="51"/>
      <c r="K15" s="51"/>
      <c r="L15" s="231"/>
      <c r="M15" s="93"/>
      <c r="Q15" s="97"/>
      <c r="R15" s="97"/>
      <c r="S15" s="97"/>
    </row>
    <row r="16" spans="1:9" ht="12.75">
      <c r="A16" s="204" t="s">
        <v>175</v>
      </c>
      <c r="B16" s="256">
        <f>E16/(E11+E12+E13+E14+E15+E16+E17)</f>
        <v>0.09719646558306971</v>
      </c>
      <c r="C16" s="256">
        <f>E16/(E13+E14+E15+E16+E17)</f>
        <v>0.1774546903007369</v>
      </c>
      <c r="D16" s="256">
        <f>E16/(E25-E18-E19-E20)</f>
        <v>0.07981725342649826</v>
      </c>
      <c r="E16" s="272">
        <v>891</v>
      </c>
      <c r="F16" s="281">
        <v>2524</v>
      </c>
      <c r="G16" s="90" t="s">
        <v>189</v>
      </c>
      <c r="H16" s="289">
        <f>I7</f>
        <v>3450000</v>
      </c>
      <c r="I16" s="290"/>
    </row>
    <row r="17" spans="1:9" ht="12.75">
      <c r="A17" s="204" t="s">
        <v>176</v>
      </c>
      <c r="B17" s="256">
        <f>E17/(E11+E12+E13+E14+E15+E16+E17)</f>
        <v>0.14617650267263008</v>
      </c>
      <c r="C17" s="256">
        <f>E17/(E13+E14+E15+E16+E17)</f>
        <v>0.26687910774746065</v>
      </c>
      <c r="D17" s="256">
        <f>E17/(E25-E18-E19-E20)</f>
        <v>0.12003941592761802</v>
      </c>
      <c r="E17" s="272">
        <v>1340</v>
      </c>
      <c r="F17" s="281">
        <v>3865</v>
      </c>
      <c r="G17" s="95" t="s">
        <v>190</v>
      </c>
      <c r="H17" s="291">
        <f>PMT(H8/12,H9*12,H16,0)*12</f>
        <v>-204382.94725173124</v>
      </c>
      <c r="I17" s="96"/>
    </row>
    <row r="18" spans="1:6" ht="12.75">
      <c r="A18" s="204"/>
      <c r="B18" s="3"/>
      <c r="C18" s="3"/>
      <c r="D18" s="280"/>
      <c r="E18" s="272"/>
      <c r="F18" s="243"/>
    </row>
    <row r="19" spans="1:19" ht="13.5" customHeight="1">
      <c r="A19" s="273"/>
      <c r="B19" s="3"/>
      <c r="C19" s="244"/>
      <c r="D19" s="280"/>
      <c r="E19" s="272"/>
      <c r="G19" s="315" t="s">
        <v>180</v>
      </c>
      <c r="H19" s="315"/>
      <c r="I19" s="315"/>
      <c r="L19" s="249"/>
      <c r="M19" s="51"/>
      <c r="Q19" s="51"/>
      <c r="R19" s="51"/>
      <c r="S19" s="51"/>
    </row>
    <row r="20" spans="1:19" ht="12.75">
      <c r="A20" s="274" t="s">
        <v>198</v>
      </c>
      <c r="B20" s="3"/>
      <c r="C20" s="98"/>
      <c r="D20" s="280"/>
      <c r="E20" s="272"/>
      <c r="F20" s="217">
        <v>1939</v>
      </c>
      <c r="G20" s="76" t="s">
        <v>205</v>
      </c>
      <c r="H20" s="77"/>
      <c r="I20" s="112">
        <v>3200380</v>
      </c>
      <c r="K20" s="238"/>
      <c r="L20" s="51"/>
      <c r="M20" s="51"/>
      <c r="Q20" s="51"/>
      <c r="R20" s="51"/>
      <c r="S20" s="51"/>
    </row>
    <row r="21" spans="1:19" ht="12.75">
      <c r="A21" s="292"/>
      <c r="B21" s="91"/>
      <c r="C21" s="244"/>
      <c r="D21" s="280"/>
      <c r="E21" s="272"/>
      <c r="F21" s="217">
        <f>SUM(F8:F20)</f>
        <v>31821</v>
      </c>
      <c r="G21" s="202" t="s">
        <v>212</v>
      </c>
      <c r="H21" s="3"/>
      <c r="I21" s="264">
        <f>-H16</f>
        <v>-3450000</v>
      </c>
      <c r="J21" s="204"/>
      <c r="K21" s="239"/>
      <c r="L21" s="86"/>
      <c r="M21" s="51"/>
      <c r="Q21" s="51"/>
      <c r="R21" s="51"/>
      <c r="S21" s="51"/>
    </row>
    <row r="22" spans="1:19" ht="12.75">
      <c r="A22" s="293"/>
      <c r="B22" s="91"/>
      <c r="C22" s="98"/>
      <c r="D22" s="280"/>
      <c r="E22" s="272"/>
      <c r="F22" s="217"/>
      <c r="G22" s="202" t="s">
        <v>164</v>
      </c>
      <c r="H22" s="3"/>
      <c r="I22" s="114">
        <v>0</v>
      </c>
      <c r="K22" s="239"/>
      <c r="L22" s="86"/>
      <c r="M22" s="51"/>
      <c r="N22" s="51"/>
      <c r="O22" s="51"/>
      <c r="P22" s="51"/>
      <c r="Q22" s="51"/>
      <c r="R22" s="51"/>
      <c r="S22" s="51"/>
    </row>
    <row r="23" spans="1:19" ht="12.75">
      <c r="A23" s="204" t="s">
        <v>130</v>
      </c>
      <c r="B23" s="3">
        <v>10</v>
      </c>
      <c r="C23" s="54" t="s">
        <v>53</v>
      </c>
      <c r="D23" s="121">
        <f>SUM(D8:D17)</f>
        <v>1</v>
      </c>
      <c r="E23" s="207"/>
      <c r="F23" s="217"/>
      <c r="G23" s="204" t="s">
        <v>153</v>
      </c>
      <c r="I23" s="114">
        <f>-H56</f>
        <v>0</v>
      </c>
      <c r="J23" s="204"/>
      <c r="K23" s="239"/>
      <c r="L23" s="86"/>
      <c r="M23" s="51"/>
      <c r="N23" s="51"/>
      <c r="O23" s="51"/>
      <c r="P23" s="51"/>
      <c r="Q23" s="51"/>
      <c r="R23" s="51"/>
      <c r="S23" s="51"/>
    </row>
    <row r="24" spans="1:19" ht="12.75">
      <c r="A24" s="275" t="s">
        <v>94</v>
      </c>
      <c r="B24" s="99"/>
      <c r="C24" s="3"/>
      <c r="D24" s="3"/>
      <c r="E24" s="207">
        <f>E25/E26+600</f>
        <v>12350.526315789475</v>
      </c>
      <c r="F24" s="217"/>
      <c r="G24" s="201" t="s">
        <v>171</v>
      </c>
      <c r="H24" s="263">
        <v>0</v>
      </c>
      <c r="I24" s="113"/>
      <c r="K24" s="239"/>
      <c r="L24" s="86"/>
      <c r="M24" s="51"/>
      <c r="N24" s="51"/>
      <c r="O24" s="51"/>
      <c r="P24" s="51"/>
      <c r="Q24" s="51"/>
      <c r="R24" s="51"/>
      <c r="S24" s="51"/>
    </row>
    <row r="25" spans="1:19" ht="12.75">
      <c r="A25" s="275" t="s">
        <v>95</v>
      </c>
      <c r="B25" s="99"/>
      <c r="C25" s="99"/>
      <c r="D25" s="99"/>
      <c r="E25" s="207">
        <f>SUM(E8:E20)</f>
        <v>11163</v>
      </c>
      <c r="F25" s="243">
        <f>(E8+E11+E13+E14+E15+E16+E17)/SUM(E8:E17)</f>
        <v>0.8032786885245902</v>
      </c>
      <c r="G25" s="83" t="s">
        <v>99</v>
      </c>
      <c r="H25" s="121"/>
      <c r="I25" s="114"/>
      <c r="J25" s="122"/>
      <c r="K25" s="240"/>
      <c r="L25" s="51"/>
      <c r="M25" s="246"/>
      <c r="N25" s="246"/>
      <c r="O25" s="51"/>
      <c r="P25" s="51"/>
      <c r="Q25" s="51"/>
      <c r="R25" s="51"/>
      <c r="S25" s="51"/>
    </row>
    <row r="26" spans="1:19" ht="12.75">
      <c r="A26" s="276" t="s">
        <v>96</v>
      </c>
      <c r="B26" s="277"/>
      <c r="C26" s="278"/>
      <c r="D26" s="278"/>
      <c r="E26" s="279">
        <v>0.95</v>
      </c>
      <c r="G26" s="201" t="s">
        <v>129</v>
      </c>
      <c r="H26" s="121"/>
      <c r="I26" s="114"/>
      <c r="J26" s="122"/>
      <c r="K26" s="239"/>
      <c r="L26" s="51"/>
      <c r="M26" s="247"/>
      <c r="N26" s="247"/>
      <c r="O26" s="51"/>
      <c r="P26" s="51"/>
      <c r="Q26" s="51"/>
      <c r="R26" s="51"/>
      <c r="S26" s="51"/>
    </row>
    <row r="27" spans="1:19" ht="12.75">
      <c r="A27" s="100" t="s">
        <v>199</v>
      </c>
      <c r="B27" s="101">
        <v>33</v>
      </c>
      <c r="C27" s="102">
        <f>B27/12</f>
        <v>2.75</v>
      </c>
      <c r="D27" s="102" t="s">
        <v>97</v>
      </c>
      <c r="E27" s="103">
        <f>F8+F10</f>
        <v>4200</v>
      </c>
      <c r="G27" s="202" t="s">
        <v>203</v>
      </c>
      <c r="H27" s="121"/>
      <c r="I27" s="124">
        <f>I7*0.015</f>
        <v>51750</v>
      </c>
      <c r="K27" s="117"/>
      <c r="L27" s="51"/>
      <c r="M27" s="247"/>
      <c r="N27" s="51"/>
      <c r="O27" s="51"/>
      <c r="P27" s="51"/>
      <c r="Q27" s="51"/>
      <c r="R27" s="51"/>
      <c r="S27" s="51"/>
    </row>
    <row r="28" spans="1:19" ht="12.75">
      <c r="A28" s="100" t="s">
        <v>200</v>
      </c>
      <c r="B28" s="101">
        <v>34</v>
      </c>
      <c r="C28" s="102">
        <f>B28/12</f>
        <v>2.8333333333333335</v>
      </c>
      <c r="D28" s="102" t="s">
        <v>97</v>
      </c>
      <c r="E28" s="103">
        <f>F9+F12</f>
        <v>4046</v>
      </c>
      <c r="F28" s="109"/>
      <c r="G28" s="202" t="s">
        <v>206</v>
      </c>
      <c r="H28" s="3"/>
      <c r="I28" s="260">
        <f>I47*(H41+H45)*1.44</f>
        <v>172800</v>
      </c>
      <c r="J28" s="204"/>
      <c r="K28" s="247"/>
      <c r="L28" s="247"/>
      <c r="M28" s="247"/>
      <c r="N28" s="51"/>
      <c r="O28" s="51"/>
      <c r="P28" s="51"/>
      <c r="Q28" s="51"/>
      <c r="R28" s="51"/>
      <c r="S28" s="51"/>
    </row>
    <row r="29" spans="1:19" ht="12.75">
      <c r="A29" s="100" t="s">
        <v>201</v>
      </c>
      <c r="B29" s="101">
        <v>25.5</v>
      </c>
      <c r="C29" s="102">
        <f>B29/12</f>
        <v>2.125</v>
      </c>
      <c r="D29" s="102" t="s">
        <v>97</v>
      </c>
      <c r="E29" s="103">
        <f>F13+F14+F15+F16+F17</f>
        <v>14665</v>
      </c>
      <c r="G29" s="83" t="s">
        <v>135</v>
      </c>
      <c r="H29" s="125"/>
      <c r="I29" s="228">
        <f>SUM(I20:I28)</f>
        <v>-25070</v>
      </c>
      <c r="K29" s="3"/>
      <c r="L29" s="3"/>
      <c r="M29" s="51"/>
      <c r="N29" s="51"/>
      <c r="O29" s="51"/>
      <c r="P29" s="51"/>
      <c r="Q29" s="51"/>
      <c r="R29" s="51"/>
      <c r="S29" s="51"/>
    </row>
    <row r="30" spans="1:19" ht="12.75">
      <c r="A30" s="100" t="s">
        <v>169</v>
      </c>
      <c r="B30" s="101">
        <f>B28</f>
        <v>34</v>
      </c>
      <c r="C30" s="102">
        <f>B30/12</f>
        <v>2.8333333333333335</v>
      </c>
      <c r="D30" s="102" t="s">
        <v>97</v>
      </c>
      <c r="E30" s="103">
        <f>F11</f>
        <v>6971</v>
      </c>
      <c r="G30" s="83" t="s">
        <v>100</v>
      </c>
      <c r="H30" s="3"/>
      <c r="I30" s="113">
        <f>E58</f>
        <v>282796.06</v>
      </c>
      <c r="K30" s="3"/>
      <c r="L30" s="3"/>
      <c r="N30" s="51"/>
      <c r="O30" s="51"/>
      <c r="P30" s="51"/>
      <c r="Q30" s="51"/>
      <c r="R30" s="51"/>
      <c r="S30" s="51"/>
    </row>
    <row r="31" spans="1:19" ht="12.75">
      <c r="A31" s="100"/>
      <c r="B31" s="101"/>
      <c r="C31" s="102"/>
      <c r="D31" s="102"/>
      <c r="E31" s="103"/>
      <c r="G31" s="83" t="s">
        <v>101</v>
      </c>
      <c r="H31" s="304">
        <f>H8</f>
        <v>0.0337</v>
      </c>
      <c r="I31" s="113">
        <f>H17</f>
        <v>-204382.94725173124</v>
      </c>
      <c r="J31" s="255">
        <f>I31/12</f>
        <v>-17031.912270977602</v>
      </c>
      <c r="K31" s="3"/>
      <c r="L31" s="3"/>
      <c r="R31" s="51"/>
      <c r="S31" s="51"/>
    </row>
    <row r="32" spans="1:19" ht="13.5" thickBot="1">
      <c r="A32" s="100"/>
      <c r="B32" s="107"/>
      <c r="C32" s="105"/>
      <c r="D32" s="106"/>
      <c r="E32" s="108"/>
      <c r="F32" s="154"/>
      <c r="G32" s="202" t="s">
        <v>156</v>
      </c>
      <c r="H32" s="263">
        <v>0</v>
      </c>
      <c r="I32" s="113">
        <f>H31*-I7</f>
        <v>-116265</v>
      </c>
      <c r="J32" s="255">
        <f>I32/12</f>
        <v>-9688.75</v>
      </c>
      <c r="K32" s="122"/>
      <c r="L32" s="3"/>
      <c r="R32" s="51"/>
      <c r="S32" s="51"/>
    </row>
    <row r="33" spans="1:19" ht="13.5" thickBot="1">
      <c r="A33" s="100" t="s">
        <v>98</v>
      </c>
      <c r="B33" s="104"/>
      <c r="C33" s="110">
        <v>0</v>
      </c>
      <c r="D33" s="105"/>
      <c r="E33" s="111"/>
      <c r="F33" s="154"/>
      <c r="G33" s="127" t="s">
        <v>102</v>
      </c>
      <c r="H33" s="128"/>
      <c r="I33" s="129">
        <f>SUM(I30:I31)</f>
        <v>78413.11274826876</v>
      </c>
      <c r="K33" s="236"/>
      <c r="L33" s="3"/>
      <c r="N33" s="297"/>
      <c r="R33" s="51"/>
      <c r="S33" s="51"/>
    </row>
    <row r="34" spans="1:19" ht="12.75">
      <c r="A34" s="115" t="s">
        <v>148</v>
      </c>
      <c r="B34" s="20"/>
      <c r="C34" s="102"/>
      <c r="D34" s="102"/>
      <c r="E34" s="116">
        <v>2500000</v>
      </c>
      <c r="F34" s="154"/>
      <c r="G34" s="86"/>
      <c r="H34" s="130"/>
      <c r="J34" s="109"/>
      <c r="K34" s="126"/>
      <c r="N34" s="298"/>
      <c r="P34" s="215"/>
      <c r="R34" s="215"/>
      <c r="S34" s="51"/>
    </row>
    <row r="35" spans="1:19" ht="12.75">
      <c r="A35" s="115"/>
      <c r="B35" s="106"/>
      <c r="C35" s="118"/>
      <c r="D35" s="118"/>
      <c r="E35" s="119"/>
      <c r="F35" s="154"/>
      <c r="G35" s="315" t="s">
        <v>103</v>
      </c>
      <c r="H35" s="315"/>
      <c r="I35" s="315"/>
      <c r="J35" s="3"/>
      <c r="R35" s="51"/>
      <c r="S35" s="51"/>
    </row>
    <row r="36" spans="1:19" ht="12.75">
      <c r="A36" s="83"/>
      <c r="B36" s="3"/>
      <c r="C36" s="99"/>
      <c r="D36" s="99"/>
      <c r="E36" s="120"/>
      <c r="F36" s="154"/>
      <c r="G36" s="90"/>
      <c r="H36" s="123" t="s">
        <v>104</v>
      </c>
      <c r="I36" s="132" t="s">
        <v>105</v>
      </c>
      <c r="J36" s="133"/>
      <c r="R36" s="51"/>
      <c r="S36" s="51"/>
    </row>
    <row r="37" spans="1:19" ht="12.75">
      <c r="A37" s="315" t="s">
        <v>114</v>
      </c>
      <c r="B37" s="315"/>
      <c r="C37" s="315"/>
      <c r="D37" s="315"/>
      <c r="E37" s="315"/>
      <c r="F37" s="154"/>
      <c r="G37" s="134" t="s">
        <v>217</v>
      </c>
      <c r="H37" s="135">
        <v>1</v>
      </c>
      <c r="I37" s="229">
        <v>0</v>
      </c>
      <c r="J37" s="235"/>
      <c r="R37" s="51"/>
      <c r="S37" s="51"/>
    </row>
    <row r="38" spans="1:19" ht="12.75">
      <c r="A38" s="202" t="s">
        <v>159</v>
      </c>
      <c r="B38" s="77"/>
      <c r="C38" s="211">
        <f>B27</f>
        <v>33</v>
      </c>
      <c r="D38" s="78"/>
      <c r="E38" s="153">
        <f>12*E27</f>
        <v>50400</v>
      </c>
      <c r="G38" s="137"/>
      <c r="H38" s="138" t="s">
        <v>141</v>
      </c>
      <c r="I38" s="138" t="s">
        <v>106</v>
      </c>
      <c r="J38" s="230" t="s">
        <v>107</v>
      </c>
      <c r="K38" s="138" t="s">
        <v>108</v>
      </c>
      <c r="L38" s="138" t="s">
        <v>109</v>
      </c>
      <c r="M38" s="138" t="s">
        <v>110</v>
      </c>
      <c r="N38" s="138" t="s">
        <v>111</v>
      </c>
      <c r="O38" s="138" t="s">
        <v>112</v>
      </c>
      <c r="P38" s="138" t="s">
        <v>214</v>
      </c>
      <c r="Q38" s="139" t="s">
        <v>113</v>
      </c>
      <c r="R38" s="139" t="s">
        <v>165</v>
      </c>
      <c r="S38" s="51"/>
    </row>
    <row r="39" spans="1:19" ht="12.75">
      <c r="A39" s="3" t="s">
        <v>202</v>
      </c>
      <c r="B39" s="3"/>
      <c r="C39" s="212">
        <f>B28</f>
        <v>34</v>
      </c>
      <c r="D39" s="3"/>
      <c r="E39" s="206">
        <f>12*E28</f>
        <v>48552</v>
      </c>
      <c r="G39" s="144" t="s">
        <v>140</v>
      </c>
      <c r="H39" s="145">
        <v>0</v>
      </c>
      <c r="I39" s="146"/>
      <c r="J39" s="147"/>
      <c r="K39" s="147"/>
      <c r="L39" s="147"/>
      <c r="M39" s="147"/>
      <c r="N39" s="147"/>
      <c r="O39" s="147"/>
      <c r="P39" s="147"/>
      <c r="Q39" s="147"/>
      <c r="R39" s="147"/>
      <c r="S39" s="51"/>
    </row>
    <row r="40" spans="1:19" ht="12.75">
      <c r="A40" s="204" t="s">
        <v>160</v>
      </c>
      <c r="C40" s="213">
        <f>B29</f>
        <v>25.5</v>
      </c>
      <c r="E40" s="206">
        <f>12*E29</f>
        <v>175980</v>
      </c>
      <c r="G40" s="221"/>
      <c r="H40" s="149">
        <v>0</v>
      </c>
      <c r="I40" s="150">
        <f>I56-I48-I44-I49</f>
        <v>28505.712748268794</v>
      </c>
      <c r="J40" s="151">
        <f>J56-J48-J44-J49</f>
        <v>29562.37254826876</v>
      </c>
      <c r="K40" s="151">
        <f>K56-K48-K44-K49</f>
        <v>31714.354544268746</v>
      </c>
      <c r="L40" s="151">
        <f>L56-L48-L44-L49</f>
        <v>34187.36844818882</v>
      </c>
      <c r="M40" s="151">
        <f>M56-M48-M44-M49</f>
        <v>36991.3746662272</v>
      </c>
      <c r="N40" s="151">
        <f>N56-N48-N44</f>
        <v>40732.194808070024</v>
      </c>
      <c r="O40" s="151">
        <f>O56-O48-O44</f>
        <v>5487.164445485338</v>
      </c>
      <c r="P40" s="151">
        <f>Q63+P56-P48-P44</f>
        <v>58436.804636447225</v>
      </c>
      <c r="Q40" s="151">
        <f>Q56-Q44</f>
        <v>36077.93655821914</v>
      </c>
      <c r="R40" s="151">
        <f>R56-R44</f>
        <v>49266.35790369805</v>
      </c>
      <c r="S40" s="51"/>
    </row>
    <row r="41" spans="1:19" ht="12.75">
      <c r="A41" s="204" t="s">
        <v>163</v>
      </c>
      <c r="C41" s="213" t="s">
        <v>179</v>
      </c>
      <c r="E41" s="206">
        <f>12*E30</f>
        <v>83652</v>
      </c>
      <c r="G41" s="134" t="s">
        <v>217</v>
      </c>
      <c r="H41" s="135">
        <f>750000-(H24/2)</f>
        <v>750000</v>
      </c>
      <c r="I41" s="229">
        <f>H41/-G66</f>
        <v>0.4999996666668889</v>
      </c>
      <c r="J41" s="209"/>
      <c r="K41" s="208"/>
      <c r="L41" s="208"/>
      <c r="M41" s="208"/>
      <c r="N41" s="208"/>
      <c r="O41" s="208"/>
      <c r="P41" s="208"/>
      <c r="Q41" s="210"/>
      <c r="R41" s="210"/>
      <c r="S41" s="51"/>
    </row>
    <row r="42" spans="1:19" ht="12.75">
      <c r="A42" s="205" t="s">
        <v>170</v>
      </c>
      <c r="B42" s="3"/>
      <c r="C42" s="214"/>
      <c r="D42" s="3"/>
      <c r="E42" s="206">
        <f>12*F20</f>
        <v>23268</v>
      </c>
      <c r="G42" s="303"/>
      <c r="H42" s="138" t="str">
        <f>H38</f>
        <v>YR 0</v>
      </c>
      <c r="I42" s="265" t="str">
        <f>I38</f>
        <v>YR 1</v>
      </c>
      <c r="J42" s="230" t="str">
        <f>J38</f>
        <v>YR 2</v>
      </c>
      <c r="K42" s="230" t="str">
        <f>K38</f>
        <v>YR 3</v>
      </c>
      <c r="L42" s="230" t="str">
        <f>L38</f>
        <v>YR 4</v>
      </c>
      <c r="M42" s="230"/>
      <c r="N42" s="230"/>
      <c r="O42" s="230"/>
      <c r="P42" s="230"/>
      <c r="Q42" s="237"/>
      <c r="R42" s="237"/>
      <c r="S42" s="51"/>
    </row>
    <row r="43" spans="1:19" ht="12.75">
      <c r="A43" s="94" t="s">
        <v>115</v>
      </c>
      <c r="B43" s="3"/>
      <c r="C43" s="212"/>
      <c r="D43" s="156">
        <f>E38+E39+E40+E41+E42</f>
        <v>381852</v>
      </c>
      <c r="E43" s="155"/>
      <c r="F43" s="299">
        <f>D43/12</f>
        <v>31821</v>
      </c>
      <c r="G43" s="144" t="s">
        <v>207</v>
      </c>
      <c r="H43" s="145">
        <v>0.1</v>
      </c>
      <c r="I43" s="266">
        <v>0.1</v>
      </c>
      <c r="J43" s="146">
        <f aca="true" t="shared" si="0" ref="J43:O43">I43</f>
        <v>0.1</v>
      </c>
      <c r="K43" s="147">
        <f t="shared" si="0"/>
        <v>0.1</v>
      </c>
      <c r="L43" s="147">
        <f t="shared" si="0"/>
        <v>0.1</v>
      </c>
      <c r="M43" s="147">
        <f t="shared" si="0"/>
        <v>0.1</v>
      </c>
      <c r="N43" s="147">
        <f t="shared" si="0"/>
        <v>0.1</v>
      </c>
      <c r="O43" s="147">
        <f t="shared" si="0"/>
        <v>0.1</v>
      </c>
      <c r="P43" s="147">
        <v>0.08</v>
      </c>
      <c r="Q43" s="147">
        <f>P43</f>
        <v>0.08</v>
      </c>
      <c r="R43" s="147">
        <v>0.08</v>
      </c>
      <c r="S43" s="51"/>
    </row>
    <row r="44" spans="1:20" ht="12.75">
      <c r="A44" s="202" t="s">
        <v>138</v>
      </c>
      <c r="B44" s="3"/>
      <c r="C44" s="157">
        <v>0.05</v>
      </c>
      <c r="D44" s="157"/>
      <c r="E44" s="155">
        <f>-D43*C44</f>
        <v>-19092.600000000002</v>
      </c>
      <c r="G44" s="221"/>
      <c r="H44" s="149">
        <f>H43*H41</f>
        <v>75000</v>
      </c>
      <c r="I44" s="150">
        <v>34500</v>
      </c>
      <c r="J44" s="220">
        <v>38500</v>
      </c>
      <c r="K44" s="220">
        <f>J44+4000</f>
        <v>42500</v>
      </c>
      <c r="L44" s="220">
        <f>K44+4000</f>
        <v>46500</v>
      </c>
      <c r="M44" s="220">
        <f>L44+4000</f>
        <v>50500</v>
      </c>
      <c r="N44" s="220">
        <f>M44+8000</f>
        <v>58500</v>
      </c>
      <c r="O44" s="220">
        <v>15000</v>
      </c>
      <c r="P44" s="220">
        <f>S44-I44-J44-K44-L44-M44-N44-O44</f>
        <v>314000</v>
      </c>
      <c r="Q44" s="220">
        <f>Q43*H41</f>
        <v>60000</v>
      </c>
      <c r="R44" s="220">
        <f>R43*H41</f>
        <v>60000</v>
      </c>
      <c r="S44" s="215">
        <f>I43*H41*8</f>
        <v>600000</v>
      </c>
      <c r="T44" t="s">
        <v>209</v>
      </c>
    </row>
    <row r="45" spans="1:20" ht="12.75">
      <c r="A45" s="202" t="s">
        <v>166</v>
      </c>
      <c r="B45" s="3"/>
      <c r="C45" s="157"/>
      <c r="D45" s="254">
        <v>400</v>
      </c>
      <c r="E45" s="155">
        <f>-D45*12</f>
        <v>-4800</v>
      </c>
      <c r="G45" s="134" t="s">
        <v>217</v>
      </c>
      <c r="H45" s="135">
        <f>H41</f>
        <v>750000</v>
      </c>
      <c r="I45" s="229">
        <f>H45/-G66</f>
        <v>0.4999996666668889</v>
      </c>
      <c r="J45" s="209"/>
      <c r="K45" s="208"/>
      <c r="L45" s="208"/>
      <c r="M45" s="208"/>
      <c r="N45" s="208"/>
      <c r="O45" s="208"/>
      <c r="P45" s="208"/>
      <c r="Q45" s="210"/>
      <c r="R45" s="210"/>
      <c r="T45" t="s">
        <v>210</v>
      </c>
    </row>
    <row r="46" spans="1:18" ht="12.75">
      <c r="A46" s="92" t="s">
        <v>116</v>
      </c>
      <c r="B46" s="51"/>
      <c r="C46" s="168"/>
      <c r="D46" s="157"/>
      <c r="E46" s="155">
        <v>-4500</v>
      </c>
      <c r="F46" s="164"/>
      <c r="G46" s="137"/>
      <c r="H46" s="138" t="str">
        <f>H42</f>
        <v>YR 0</v>
      </c>
      <c r="I46" s="265" t="str">
        <f>I42</f>
        <v>YR 1</v>
      </c>
      <c r="J46" s="230" t="str">
        <f>J42</f>
        <v>YR 2</v>
      </c>
      <c r="K46" s="230" t="str">
        <f>K42</f>
        <v>YR 3</v>
      </c>
      <c r="L46" s="230" t="str">
        <f>L42</f>
        <v>YR 4</v>
      </c>
      <c r="M46" s="230"/>
      <c r="N46" s="230"/>
      <c r="O46" s="230"/>
      <c r="P46" s="230"/>
      <c r="Q46" s="237"/>
      <c r="R46" s="237"/>
    </row>
    <row r="47" spans="1:18" ht="12.75">
      <c r="A47" s="202" t="s">
        <v>149</v>
      </c>
      <c r="B47" s="3"/>
      <c r="C47" s="168"/>
      <c r="D47" s="157"/>
      <c r="E47" s="155">
        <v>-12000</v>
      </c>
      <c r="F47" s="164"/>
      <c r="G47" s="144" t="s">
        <v>204</v>
      </c>
      <c r="H47" s="145">
        <v>0.08</v>
      </c>
      <c r="I47" s="266">
        <v>0.08</v>
      </c>
      <c r="J47" s="146">
        <f>I47</f>
        <v>0.08</v>
      </c>
      <c r="K47" s="147">
        <f>J47</f>
        <v>0.08</v>
      </c>
      <c r="L47" s="147">
        <f>K47</f>
        <v>0.08</v>
      </c>
      <c r="M47" s="147">
        <v>0.08</v>
      </c>
      <c r="N47" s="147">
        <v>0.08</v>
      </c>
      <c r="O47" s="147">
        <v>0.08</v>
      </c>
      <c r="P47" s="147">
        <v>0.24</v>
      </c>
      <c r="Q47" s="147"/>
      <c r="R47" s="147"/>
    </row>
    <row r="48" spans="1:20" ht="12.75">
      <c r="A48" s="83" t="s">
        <v>119</v>
      </c>
      <c r="B48" s="3"/>
      <c r="C48" s="168"/>
      <c r="D48" s="157"/>
      <c r="E48" s="155">
        <v>-26000</v>
      </c>
      <c r="F48" s="164"/>
      <c r="G48" s="222"/>
      <c r="H48" s="218">
        <f>H47*H45</f>
        <v>60000</v>
      </c>
      <c r="I48" s="219">
        <f aca="true" t="shared" si="1" ref="I48:N48">I44</f>
        <v>34500</v>
      </c>
      <c r="J48" s="219">
        <f t="shared" si="1"/>
        <v>38500</v>
      </c>
      <c r="K48" s="219">
        <f t="shared" si="1"/>
        <v>42500</v>
      </c>
      <c r="L48" s="219">
        <f t="shared" si="1"/>
        <v>46500</v>
      </c>
      <c r="M48" s="219">
        <f t="shared" si="1"/>
        <v>50500</v>
      </c>
      <c r="N48" s="219">
        <f t="shared" si="1"/>
        <v>58500</v>
      </c>
      <c r="O48" s="219">
        <f>S48-I48-J48-K48-L48-M48-N48</f>
        <v>149000</v>
      </c>
      <c r="P48" s="219">
        <f>H45+(P47*H45)</f>
        <v>930000</v>
      </c>
      <c r="Q48" s="219"/>
      <c r="R48" s="219">
        <v>0</v>
      </c>
      <c r="S48" s="215">
        <f>I47*H45*7</f>
        <v>420000</v>
      </c>
      <c r="T48" t="s">
        <v>208</v>
      </c>
    </row>
    <row r="49" spans="1:19" ht="12.75">
      <c r="A49" s="202" t="s">
        <v>150</v>
      </c>
      <c r="B49" s="3"/>
      <c r="C49" s="168"/>
      <c r="D49" s="157"/>
      <c r="E49" s="155">
        <v>-1200</v>
      </c>
      <c r="F49" s="253"/>
      <c r="G49" s="312" t="s">
        <v>215</v>
      </c>
      <c r="H49" s="301"/>
      <c r="I49" s="301"/>
      <c r="J49" s="301"/>
      <c r="K49" s="301"/>
      <c r="L49" s="301"/>
      <c r="M49" s="301"/>
      <c r="N49" s="301"/>
      <c r="O49" s="301"/>
      <c r="P49" s="301"/>
      <c r="Q49" s="302"/>
      <c r="S49" s="300"/>
    </row>
    <row r="50" spans="1:19" ht="12.75">
      <c r="A50" s="136" t="s">
        <v>151</v>
      </c>
      <c r="B50" s="81"/>
      <c r="C50" s="82"/>
      <c r="D50" s="160"/>
      <c r="E50" s="161">
        <v>-9000</v>
      </c>
      <c r="F50" s="164"/>
      <c r="G50" s="183"/>
      <c r="H50" s="230" t="str">
        <f>H46</f>
        <v>YR 0</v>
      </c>
      <c r="I50" s="230">
        <v>2019</v>
      </c>
      <c r="J50" s="230" t="str">
        <f>J46</f>
        <v>YR 2</v>
      </c>
      <c r="K50" s="230" t="str">
        <f>K46</f>
        <v>YR 3</v>
      </c>
      <c r="L50" s="230" t="str">
        <f>L46</f>
        <v>YR 4</v>
      </c>
      <c r="M50" s="230" t="str">
        <f aca="true" t="shared" si="2" ref="M50:R50">M38</f>
        <v>YR 5</v>
      </c>
      <c r="N50" s="306" t="str">
        <f t="shared" si="2"/>
        <v>YR 6</v>
      </c>
      <c r="O50" s="230" t="str">
        <f t="shared" si="2"/>
        <v>YR 7</v>
      </c>
      <c r="P50" s="230" t="str">
        <f t="shared" si="2"/>
        <v>YR 8</v>
      </c>
      <c r="Q50" s="139" t="str">
        <f t="shared" si="2"/>
        <v>YR 9</v>
      </c>
      <c r="R50" s="138" t="str">
        <f t="shared" si="2"/>
        <v>YR 10</v>
      </c>
      <c r="S50" s="204"/>
    </row>
    <row r="51" spans="1:19" ht="12.75">
      <c r="A51" s="202" t="s">
        <v>127</v>
      </c>
      <c r="B51" s="3"/>
      <c r="C51" s="87"/>
      <c r="D51" s="157"/>
      <c r="E51" s="155">
        <v>-2400</v>
      </c>
      <c r="F51" s="164"/>
      <c r="G51" s="158" t="s">
        <v>131</v>
      </c>
      <c r="H51" s="159">
        <v>0</v>
      </c>
      <c r="I51" s="159">
        <f>D43</f>
        <v>381852</v>
      </c>
      <c r="J51" s="159">
        <f>D43*1.03</f>
        <v>393307.56</v>
      </c>
      <c r="K51" s="159">
        <f>J51*103%</f>
        <v>405106.7868</v>
      </c>
      <c r="L51" s="159">
        <f>K51*103%</f>
        <v>417259.99040400004</v>
      </c>
      <c r="M51" s="159">
        <f>L51*1.03</f>
        <v>429777.7901161201</v>
      </c>
      <c r="N51" s="307">
        <f>M51*1.05</f>
        <v>451266.6796219261</v>
      </c>
      <c r="O51" s="305">
        <f>N51*103%</f>
        <v>464804.6800105839</v>
      </c>
      <c r="P51" s="159">
        <f>O51*103%</f>
        <v>478748.82041090145</v>
      </c>
      <c r="Q51" s="159">
        <f>P51*1.05</f>
        <v>502686.26143144653</v>
      </c>
      <c r="R51" s="159">
        <f>Q51*1.03</f>
        <v>517766.84927438997</v>
      </c>
      <c r="S51" s="204"/>
    </row>
    <row r="52" spans="1:19" ht="12.75">
      <c r="A52" s="202" t="s">
        <v>128</v>
      </c>
      <c r="B52" s="3"/>
      <c r="C52" s="87"/>
      <c r="D52" s="157"/>
      <c r="E52" s="155">
        <v>0</v>
      </c>
      <c r="F52" s="164"/>
      <c r="G52" s="115" t="s">
        <v>168</v>
      </c>
      <c r="H52" s="162">
        <v>0</v>
      </c>
      <c r="I52" s="162">
        <f>E55-E44</f>
        <v>-79963.34</v>
      </c>
      <c r="J52" s="162">
        <f>I52*1.03</f>
        <v>-82362.2402</v>
      </c>
      <c r="K52" s="162">
        <f aca="true" t="shared" si="3" ref="K52:R52">J52*102%</f>
        <v>-84009.485004</v>
      </c>
      <c r="L52" s="162">
        <f t="shared" si="3"/>
        <v>-85689.67470408</v>
      </c>
      <c r="M52" s="162">
        <f t="shared" si="3"/>
        <v>-87403.4681981616</v>
      </c>
      <c r="N52" s="162">
        <f t="shared" si="3"/>
        <v>-89151.53756212484</v>
      </c>
      <c r="O52" s="162">
        <f t="shared" si="3"/>
        <v>-90934.56831336733</v>
      </c>
      <c r="P52" s="162">
        <f t="shared" si="3"/>
        <v>-92753.25967963468</v>
      </c>
      <c r="Q52" s="162">
        <f t="shared" si="3"/>
        <v>-94608.32487322738</v>
      </c>
      <c r="R52" s="162">
        <f t="shared" si="3"/>
        <v>-96500.49137069193</v>
      </c>
      <c r="S52" s="204"/>
    </row>
    <row r="53" spans="1:19" ht="12.75">
      <c r="A53" s="201" t="s">
        <v>161</v>
      </c>
      <c r="B53" s="51"/>
      <c r="C53" s="177"/>
      <c r="D53" s="157"/>
      <c r="E53" s="155">
        <f>-(2+B23)*20*12</f>
        <v>-2880</v>
      </c>
      <c r="F53" s="174"/>
      <c r="G53" s="165"/>
      <c r="H53" s="166"/>
      <c r="I53" s="166"/>
      <c r="J53" s="166"/>
      <c r="K53" s="166"/>
      <c r="L53" s="166"/>
      <c r="M53" s="166"/>
      <c r="N53" s="166"/>
      <c r="O53" s="166"/>
      <c r="P53" s="166"/>
      <c r="Q53" s="166"/>
      <c r="R53" s="166"/>
      <c r="S53" s="204"/>
    </row>
    <row r="54" spans="1:19" ht="13.5" thickBot="1">
      <c r="A54" s="180" t="s">
        <v>122</v>
      </c>
      <c r="B54" s="41"/>
      <c r="C54" s="262">
        <v>0.045</v>
      </c>
      <c r="D54" s="131"/>
      <c r="E54" s="181">
        <f>-C54*D43</f>
        <v>-17183.34</v>
      </c>
      <c r="F54" s="164"/>
      <c r="G54" s="115" t="s">
        <v>117</v>
      </c>
      <c r="H54" s="162">
        <f>SUM(H51:H53)</f>
        <v>0</v>
      </c>
      <c r="I54" s="162">
        <f aca="true" t="shared" si="4" ref="I54:Q54">SUM(I51:I53)</f>
        <v>301888.66000000003</v>
      </c>
      <c r="J54" s="162">
        <f t="shared" si="4"/>
        <v>310945.3198</v>
      </c>
      <c r="K54" s="162">
        <f t="shared" si="4"/>
        <v>321097.301796</v>
      </c>
      <c r="L54" s="162">
        <f t="shared" si="4"/>
        <v>331570.31569992006</v>
      </c>
      <c r="M54" s="162">
        <f t="shared" si="4"/>
        <v>342374.32191795844</v>
      </c>
      <c r="N54" s="162">
        <f t="shared" si="4"/>
        <v>362115.14205980126</v>
      </c>
      <c r="O54" s="162">
        <f t="shared" si="4"/>
        <v>373870.1116972166</v>
      </c>
      <c r="P54" s="162">
        <f t="shared" si="4"/>
        <v>385995.56073126674</v>
      </c>
      <c r="Q54" s="163">
        <f t="shared" si="4"/>
        <v>408077.93655821914</v>
      </c>
      <c r="R54" s="162">
        <f>R51+R52</f>
        <v>421266.35790369805</v>
      </c>
      <c r="S54" s="204"/>
    </row>
    <row r="55" spans="1:19" ht="13.5" thickBot="1">
      <c r="A55" s="185" t="s">
        <v>123</v>
      </c>
      <c r="B55" s="186"/>
      <c r="C55" s="187">
        <f>-(E55/D43)</f>
        <v>0.2594092475618826</v>
      </c>
      <c r="D55" s="187"/>
      <c r="E55" s="188">
        <f>SUM(E44:E54)</f>
        <v>-99055.94</v>
      </c>
      <c r="F55" s="299">
        <f>E55-E44</f>
        <v>-79963.34</v>
      </c>
      <c r="G55" s="165" t="s">
        <v>118</v>
      </c>
      <c r="H55" s="166" t="s">
        <v>155</v>
      </c>
      <c r="I55" s="166">
        <f>I31</f>
        <v>-204382.94725173124</v>
      </c>
      <c r="J55" s="166">
        <f aca="true" t="shared" si="5" ref="J55:P55">I55</f>
        <v>-204382.94725173124</v>
      </c>
      <c r="K55" s="166">
        <f t="shared" si="5"/>
        <v>-204382.94725173124</v>
      </c>
      <c r="L55" s="166">
        <f t="shared" si="5"/>
        <v>-204382.94725173124</v>
      </c>
      <c r="M55" s="166">
        <f t="shared" si="5"/>
        <v>-204382.94725173124</v>
      </c>
      <c r="N55" s="166">
        <f t="shared" si="5"/>
        <v>-204382.94725173124</v>
      </c>
      <c r="O55" s="166">
        <f t="shared" si="5"/>
        <v>-204382.94725173124</v>
      </c>
      <c r="P55" s="166">
        <f t="shared" si="5"/>
        <v>-204382.94725173124</v>
      </c>
      <c r="Q55" s="166">
        <f>-26000*12</f>
        <v>-312000</v>
      </c>
      <c r="R55" s="166">
        <f>Q55</f>
        <v>-312000</v>
      </c>
      <c r="S55" s="204"/>
    </row>
    <row r="56" spans="1:19" ht="12.75">
      <c r="A56" s="94" t="s">
        <v>125</v>
      </c>
      <c r="B56" s="99"/>
      <c r="E56" s="191">
        <f>SUM(E45:E54)/E24</f>
        <v>-6.474488451376459</v>
      </c>
      <c r="F56" t="s">
        <v>172</v>
      </c>
      <c r="G56" s="115" t="s">
        <v>102</v>
      </c>
      <c r="H56" s="163">
        <v>0</v>
      </c>
      <c r="I56" s="163">
        <f aca="true" t="shared" si="6" ref="I56:P56">I54+I55</f>
        <v>97505.7127482688</v>
      </c>
      <c r="J56" s="163">
        <f t="shared" si="6"/>
        <v>106562.37254826876</v>
      </c>
      <c r="K56" s="163">
        <f t="shared" si="6"/>
        <v>116714.35454426875</v>
      </c>
      <c r="L56" s="163">
        <f t="shared" si="6"/>
        <v>127187.36844818882</v>
      </c>
      <c r="M56" s="163">
        <f t="shared" si="6"/>
        <v>137991.3746662272</v>
      </c>
      <c r="N56" s="163">
        <f t="shared" si="6"/>
        <v>157732.19480807002</v>
      </c>
      <c r="O56" s="163">
        <f>O54+O55</f>
        <v>169487.16444548534</v>
      </c>
      <c r="P56" s="163">
        <f t="shared" si="6"/>
        <v>181612.6134795355</v>
      </c>
      <c r="Q56" s="163">
        <f>Q54+Q55</f>
        <v>96077.93655821914</v>
      </c>
      <c r="R56" s="162">
        <f>R54+R55</f>
        <v>109266.35790369805</v>
      </c>
      <c r="S56" s="204"/>
    </row>
    <row r="57" spans="1:19" ht="13.5" thickBot="1">
      <c r="A57" s="83"/>
      <c r="B57" s="3"/>
      <c r="E57" s="155"/>
      <c r="G57" s="165" t="s">
        <v>120</v>
      </c>
      <c r="H57" s="169">
        <f>H56/(-I24-I25+I29)</f>
        <v>0</v>
      </c>
      <c r="I57" s="170">
        <f>I56/(-I24-I25+I29)</f>
        <v>-3.8893383625157076</v>
      </c>
      <c r="J57" s="170">
        <f>J56/(-I24-I25+I29)</f>
        <v>-4.250593240856353</v>
      </c>
      <c r="K57" s="170">
        <f>K56/(-I24-I25+I29)</f>
        <v>-4.655538673484992</v>
      </c>
      <c r="L57" s="170">
        <f>L56/(-I24-I25+I29)</f>
        <v>-5.07328952725125</v>
      </c>
      <c r="M57" s="170">
        <f>M56/(-I24-I25+I29)</f>
        <v>-5.504243105952422</v>
      </c>
      <c r="N57" s="170">
        <f>N56/(-I24-I25+I29)</f>
        <v>-6.291671113205824</v>
      </c>
      <c r="O57" s="170">
        <f>O56/(-I24-I25+I29)</f>
        <v>-6.760557018168542</v>
      </c>
      <c r="P57" s="170">
        <f>P56/(-I24-I25+I29)</f>
        <v>-7.244220721162166</v>
      </c>
      <c r="Q57" s="169">
        <f>Q56/(-I24-I25+I29)</f>
        <v>-3.832386779346595</v>
      </c>
      <c r="R57" s="250"/>
      <c r="S57" s="204"/>
    </row>
    <row r="58" spans="1:19" ht="13.5" thickBot="1">
      <c r="A58" s="141" t="s">
        <v>100</v>
      </c>
      <c r="B58" s="142"/>
      <c r="C58" s="198"/>
      <c r="D58" s="198"/>
      <c r="E58" s="199">
        <f>SUM(E38:E54)</f>
        <v>282796.06</v>
      </c>
      <c r="G58" s="171" t="s">
        <v>121</v>
      </c>
      <c r="H58" s="172">
        <v>0</v>
      </c>
      <c r="I58" s="173">
        <f aca="true" t="shared" si="7" ref="I58:Q58">-I54/I55</f>
        <v>1.4770736211577107</v>
      </c>
      <c r="J58" s="173">
        <f>-J54/J55</f>
        <v>1.5213858297924419</v>
      </c>
      <c r="K58" s="173">
        <f t="shared" si="7"/>
        <v>1.571057204691915</v>
      </c>
      <c r="L58" s="173">
        <f t="shared" si="7"/>
        <v>1.6222993168384867</v>
      </c>
      <c r="M58" s="173">
        <f t="shared" si="7"/>
        <v>1.6751609002695715</v>
      </c>
      <c r="N58" s="173">
        <f t="shared" si="7"/>
        <v>1.7717483132963967</v>
      </c>
      <c r="O58" s="173">
        <f t="shared" si="7"/>
        <v>1.8292627478198267</v>
      </c>
      <c r="P58" s="173">
        <f t="shared" si="7"/>
        <v>1.88858985508145</v>
      </c>
      <c r="Q58" s="173">
        <f t="shared" si="7"/>
        <v>1.3079421043532664</v>
      </c>
      <c r="R58" s="251"/>
      <c r="S58" s="252"/>
    </row>
    <row r="59" spans="7:19" ht="12.75">
      <c r="G59" s="296"/>
      <c r="H59" s="297"/>
      <c r="R59" s="140"/>
      <c r="S59" s="148"/>
    </row>
    <row r="60" spans="7:18" ht="12.75">
      <c r="G60" s="171" t="s">
        <v>162</v>
      </c>
      <c r="H60" s="175">
        <f>I11</f>
        <v>4713267.666666667</v>
      </c>
      <c r="I60" s="175">
        <f aca="true" t="shared" si="8" ref="I60:O60">H60*1.04</f>
        <v>4901798.373333334</v>
      </c>
      <c r="J60" s="175">
        <f t="shared" si="8"/>
        <v>5097870.308266668</v>
      </c>
      <c r="K60" s="175">
        <f t="shared" si="8"/>
        <v>5301785.120597335</v>
      </c>
      <c r="L60" s="175">
        <f t="shared" si="8"/>
        <v>5513856.525421228</v>
      </c>
      <c r="M60" s="175">
        <f t="shared" si="8"/>
        <v>5734410.786438078</v>
      </c>
      <c r="N60" s="175">
        <f t="shared" si="8"/>
        <v>5963787.217895601</v>
      </c>
      <c r="O60" s="175">
        <f t="shared" si="8"/>
        <v>6202338.706611426</v>
      </c>
      <c r="P60" s="176">
        <f>O60*1.04</f>
        <v>6450432.2548758825</v>
      </c>
      <c r="Q60" s="140"/>
      <c r="R60" s="152"/>
    </row>
    <row r="61" spans="7:18" ht="12.75">
      <c r="G61" s="178" t="s">
        <v>143</v>
      </c>
      <c r="H61" s="179"/>
      <c r="I61" s="24"/>
      <c r="J61" s="24"/>
      <c r="K61" s="24"/>
      <c r="L61" s="24"/>
      <c r="M61" s="24"/>
      <c r="N61" s="24"/>
      <c r="O61" s="24"/>
      <c r="P61" s="176">
        <f>P60*0.98</f>
        <v>6321423.609778365</v>
      </c>
      <c r="Q61" s="245">
        <f>P60*0.75</f>
        <v>4837824.191156912</v>
      </c>
      <c r="R61" s="126" t="s">
        <v>213</v>
      </c>
    </row>
    <row r="62" spans="7:18" ht="12.75">
      <c r="G62" s="182" t="s">
        <v>144</v>
      </c>
      <c r="H62" s="183"/>
      <c r="I62" s="184"/>
      <c r="J62" s="184"/>
      <c r="K62" s="184"/>
      <c r="L62" s="184"/>
      <c r="M62" s="184"/>
      <c r="N62" s="184"/>
      <c r="O62" s="184"/>
      <c r="P62" s="176">
        <f>H45-(I21*0.86)</f>
        <v>3717000</v>
      </c>
      <c r="Q62" s="245">
        <f>P62</f>
        <v>3717000</v>
      </c>
      <c r="R62" s="126"/>
    </row>
    <row r="63" spans="7:18" ht="12.75">
      <c r="G63" s="171" t="s">
        <v>124</v>
      </c>
      <c r="H63" s="189"/>
      <c r="N63" s="248"/>
      <c r="P63" s="176">
        <f>P61-P62</f>
        <v>2604423.609778365</v>
      </c>
      <c r="Q63" s="261">
        <f>Q61-P62</f>
        <v>1120824.1911569117</v>
      </c>
      <c r="R63" s="126" t="s">
        <v>157</v>
      </c>
    </row>
    <row r="64" spans="7:17" ht="12.75">
      <c r="G64" s="86"/>
      <c r="H64" s="190"/>
      <c r="I64" s="190"/>
      <c r="J64" s="140"/>
      <c r="K64" s="51"/>
      <c r="L64" s="51"/>
      <c r="M64" s="51"/>
      <c r="N64" s="51"/>
      <c r="O64" s="51"/>
      <c r="Q64" s="195"/>
    </row>
    <row r="65" spans="7:17" ht="12.75">
      <c r="G65" s="192" t="s">
        <v>126</v>
      </c>
      <c r="H65" s="216">
        <f>IRR(G66:Q66)</f>
        <v>0.11486001930883205</v>
      </c>
      <c r="I65" s="193"/>
      <c r="J65" s="77"/>
      <c r="K65" s="77"/>
      <c r="L65" s="77"/>
      <c r="M65" s="77"/>
      <c r="N65" s="77"/>
      <c r="O65" s="77"/>
      <c r="P65" s="77"/>
      <c r="Q65" s="194"/>
    </row>
    <row r="66" spans="7:17" ht="12.75">
      <c r="G66" s="195">
        <f>-H37-H41-H45</f>
        <v>-1500001</v>
      </c>
      <c r="H66" s="196">
        <f aca="true" t="shared" si="9" ref="H66:P66">H56</f>
        <v>0</v>
      </c>
      <c r="I66" s="196">
        <f>I56</f>
        <v>97505.7127482688</v>
      </c>
      <c r="J66" s="196">
        <f t="shared" si="9"/>
        <v>106562.37254826876</v>
      </c>
      <c r="K66" s="196">
        <f t="shared" si="9"/>
        <v>116714.35454426875</v>
      </c>
      <c r="L66" s="196">
        <f t="shared" si="9"/>
        <v>127187.36844818882</v>
      </c>
      <c r="M66" s="196">
        <f t="shared" si="9"/>
        <v>137991.3746662272</v>
      </c>
      <c r="N66" s="196">
        <f t="shared" si="9"/>
        <v>157732.19480807002</v>
      </c>
      <c r="O66" s="196">
        <f t="shared" si="9"/>
        <v>169487.16444548534</v>
      </c>
      <c r="P66" s="196">
        <f t="shared" si="9"/>
        <v>181612.6134795355</v>
      </c>
      <c r="Q66" s="197">
        <f>Q56+P63</f>
        <v>2700501.5463365843</v>
      </c>
    </row>
    <row r="67" spans="7:17" ht="12.75">
      <c r="G67" s="136"/>
      <c r="H67" s="200"/>
      <c r="I67" s="200"/>
      <c r="J67" s="200"/>
      <c r="K67" s="200"/>
      <c r="L67" s="200"/>
      <c r="M67" s="200"/>
      <c r="N67" s="200"/>
      <c r="O67" s="200"/>
      <c r="P67" s="200"/>
      <c r="Q67" s="143"/>
    </row>
    <row r="69" spans="7:9" ht="12.75">
      <c r="G69" s="257" t="s">
        <v>167</v>
      </c>
      <c r="H69" s="258"/>
      <c r="I69" s="259"/>
    </row>
    <row r="73" ht="12.75">
      <c r="A73" s="86" t="s">
        <v>145</v>
      </c>
    </row>
    <row r="74" ht="12.75">
      <c r="A74" s="86" t="s">
        <v>132</v>
      </c>
    </row>
    <row r="75" spans="1:6" ht="12.75">
      <c r="A75" s="86" t="s">
        <v>133</v>
      </c>
      <c r="F75" s="148"/>
    </row>
    <row r="76" ht="12.75">
      <c r="A76" s="86" t="s">
        <v>134</v>
      </c>
    </row>
    <row r="77" ht="12.75">
      <c r="A77" s="126"/>
    </row>
    <row r="78" ht="12.75">
      <c r="A78" s="86" t="s">
        <v>211</v>
      </c>
    </row>
    <row r="79" ht="12.75">
      <c r="A79" s="126"/>
    </row>
    <row r="80" ht="12.75">
      <c r="A80" s="86"/>
    </row>
    <row r="81" ht="12.75">
      <c r="A81" s="126"/>
    </row>
    <row r="82" ht="12.75">
      <c r="A82" s="86"/>
    </row>
    <row r="87" ht="12.75">
      <c r="A87" s="86"/>
    </row>
    <row r="88" ht="12.75">
      <c r="G88" s="217"/>
    </row>
    <row r="92" ht="12.75">
      <c r="G92" s="217"/>
    </row>
  </sheetData>
  <sheetProtection selectLockedCells="1" selectUnlockedCells="1"/>
  <mergeCells count="8">
    <mergeCell ref="G35:I35"/>
    <mergeCell ref="A37:E37"/>
    <mergeCell ref="L5:N5"/>
    <mergeCell ref="A1:I1"/>
    <mergeCell ref="A3:I3"/>
    <mergeCell ref="A5:E5"/>
    <mergeCell ref="G19:I19"/>
    <mergeCell ref="G5:I5"/>
  </mergeCells>
  <printOptions gridLines="1"/>
  <pageMargins left="0.5" right="0.5" top="1" bottom="1" header="0.5118055555555555" footer="0.5118055555555555"/>
  <pageSetup fitToHeight="1" fitToWidth="1" horizontalDpi="600" verticalDpi="600" orientation="landscape" paperSize="17" scale="4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Abby</cp:lastModifiedBy>
  <cp:lastPrinted>2019-02-26T17:24:46Z</cp:lastPrinted>
  <dcterms:created xsi:type="dcterms:W3CDTF">2012-05-04T22:23:10Z</dcterms:created>
  <dcterms:modified xsi:type="dcterms:W3CDTF">2021-05-21T21:44:28Z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