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435" tabRatio="263" activeTab="0"/>
  </bookViews>
  <sheets>
    <sheet name="Proforma 2" sheetId="1" r:id="rId1"/>
  </sheets>
  <definedNames>
    <definedName name="Beg_Bal_3">#REF!</definedName>
    <definedName name="Cum_Int_3">#REF!</definedName>
    <definedName name="Data_3">#REF!</definedName>
    <definedName name="End_Bal_3">#REF!</definedName>
    <definedName name="Excel_BuiltIn_Print_Titles_3">#REF!</definedName>
    <definedName name="Extra_Pay_3">#REF!</definedName>
    <definedName name="Full_Print_3">#REF!</definedName>
    <definedName name="Header_Row_3">ROW(#REF!)</definedName>
    <definedName name="Int_3">#REF!</definedName>
    <definedName name="Interest_Rate_3">#REF!</definedName>
    <definedName name="Last_Row">#N/A</definedName>
    <definedName name="Last_Row_3">IF(Values_Entered_3,Header_Row_3+Number_of_Payments_3,Header_Row_3)</definedName>
    <definedName name="Loan_Amount_3">#REF!</definedName>
    <definedName name="Loan_Start_3">#REF!</definedName>
    <definedName name="Loan_Years_3">#REF!</definedName>
    <definedName name="Num_Pmt_Per_Year_3">#REF!</definedName>
    <definedName name="Number_of_Payments">#N/A</definedName>
    <definedName name="Number_of_Payments_3">MATCH(0.01,End_Bal_3,-1)+1</definedName>
    <definedName name="Pay_Date_3">#REF!</definedName>
    <definedName name="Pay_Num_3">#REF!</definedName>
    <definedName name="Payment_Date">NA()</definedName>
    <definedName name="Payment_Date_3">NA()</definedName>
    <definedName name="Princ_3">#REF!</definedName>
    <definedName name="Print_Area_Reset">#N/A</definedName>
    <definedName name="Print_Area_Reset_3">OFFSET(Full_Print_3,0,0,Last_Row_3)</definedName>
    <definedName name="Sched_Pay_3">#REF!</definedName>
    <definedName name="Scheduled_Extra_Payments_3">#REF!</definedName>
    <definedName name="Scheduled_Interest_Rate_3">#REF!</definedName>
    <definedName name="Scheduled_Monthly_Payment_3">#REF!</definedName>
    <definedName name="Total_Interest_3">#REF!</definedName>
    <definedName name="Total_Pay_3">#REF!</definedName>
    <definedName name="Total_Payment">NA()</definedName>
    <definedName name="Total_Payment_3">NA()</definedName>
    <definedName name="Values_Entered">#N/A</definedName>
    <definedName name="Values_Entered_3">IF(Loan_Amount_3*Interest_Rate_3*Loan_Years_3*Loan_Start_3&gt;0,1,0)</definedName>
  </definedNames>
  <calcPr fullCalcOnLoad="1" iterate="1" iterateCount="100" iterateDelta="0.001"/>
</workbook>
</file>

<file path=xl/sharedStrings.xml><?xml version="1.0" encoding="utf-8"?>
<sst xmlns="http://schemas.openxmlformats.org/spreadsheetml/2006/main" count="193" uniqueCount="156">
  <si>
    <t>PROJECT FACTS:</t>
  </si>
  <si>
    <t>CONSTRUCTION + 3 yr MINI-PERM LOAN</t>
  </si>
  <si>
    <t>Site Area</t>
  </si>
  <si>
    <t>Interest Rate</t>
  </si>
  <si>
    <t>Term (Months)</t>
  </si>
  <si>
    <t>Construction/Mini-Perm Loan</t>
  </si>
  <si>
    <t>Project Value</t>
  </si>
  <si>
    <t>Loan-to-Value</t>
  </si>
  <si>
    <t>Loan-to-Cost</t>
  </si>
  <si>
    <t>Combined LTV</t>
  </si>
  <si>
    <t>Drawdown</t>
  </si>
  <si>
    <t>Annual Debt Service</t>
  </si>
  <si>
    <t>spaces 0-6</t>
  </si>
  <si>
    <t>Covered Seating</t>
  </si>
  <si>
    <t>sq.ft.</t>
  </si>
  <si>
    <t>2nd POSITION LOAN</t>
  </si>
  <si>
    <t>Common Area</t>
  </si>
  <si>
    <t>DCR</t>
  </si>
  <si>
    <t>LTC</t>
  </si>
  <si>
    <t>Number of Residential Units</t>
  </si>
  <si>
    <t>Loan Amount</t>
  </si>
  <si>
    <t>Number of commercial tenants</t>
  </si>
  <si>
    <t>GROSS BUILDING AREA</t>
  </si>
  <si>
    <t>per plans</t>
  </si>
  <si>
    <t>Term (Years)</t>
  </si>
  <si>
    <t>TOTAL NET LEASABLE</t>
  </si>
  <si>
    <t>Debt-Coverage Ratio</t>
  </si>
  <si>
    <t>Overall Efficiency</t>
  </si>
  <si>
    <t>Retail Rent/sq.ft.</t>
  </si>
  <si>
    <t>NNN</t>
  </si>
  <si>
    <t>Combined Loan-to-Value</t>
  </si>
  <si>
    <t>Full Bar Rent/sq.ft.</t>
  </si>
  <si>
    <t>Value per Net Square Foot</t>
  </si>
  <si>
    <t>Coffee Corner Rent/sq.ft.</t>
  </si>
  <si>
    <t>Stabilized NOI</t>
  </si>
  <si>
    <t>CAM Rent/sq.ft.</t>
  </si>
  <si>
    <t>CAP Rate</t>
  </si>
  <si>
    <t>Covered Seating Rent</t>
  </si>
  <si>
    <t>Supportable Mortgage</t>
  </si>
  <si>
    <t>Supportable Debt Service</t>
  </si>
  <si>
    <t>Other Rent</t>
  </si>
  <si>
    <t>Misc Income</t>
  </si>
  <si>
    <t>MEANS AND METHODS</t>
  </si>
  <si>
    <t>TOTAL DEVELOPMENT COSTS</t>
  </si>
  <si>
    <t>Land Price</t>
  </si>
  <si>
    <t>(-) Land Value</t>
  </si>
  <si>
    <t>(-) Development Fee Equity</t>
  </si>
  <si>
    <t>PROJECT COSTS</t>
  </si>
  <si>
    <t>(-) Leasing Equity</t>
  </si>
  <si>
    <t xml:space="preserve">Existing Value </t>
  </si>
  <si>
    <t xml:space="preserve">sq.ft. </t>
  </si>
  <si>
    <t>(-) Permanent Financing</t>
  </si>
  <si>
    <t>Hard Costs</t>
  </si>
  <si>
    <t>(-) Architecture Fee</t>
  </si>
  <si>
    <t>Artwork/Fins</t>
  </si>
  <si>
    <t>(+) Iron Bridge Loan Payoff</t>
  </si>
  <si>
    <t>Fire Pit</t>
  </si>
  <si>
    <t>(+) Levy Loan Payoff</t>
  </si>
  <si>
    <t>of hd costs</t>
  </si>
  <si>
    <t>(-) Monies Already Spent</t>
  </si>
  <si>
    <t>Pre-Dev Consultants</t>
  </si>
  <si>
    <t>GAP</t>
  </si>
  <si>
    <t>Architecture &amp; Engineering</t>
  </si>
  <si>
    <t>EQUITY REQUIRED</t>
  </si>
  <si>
    <t>Development Fees</t>
  </si>
  <si>
    <t>of value</t>
  </si>
  <si>
    <t>NET OPERATING INCOME</t>
  </si>
  <si>
    <t>Permit Fees</t>
  </si>
  <si>
    <t>(-) MORTGAGE</t>
  </si>
  <si>
    <t>Legal &amp; Accounting</t>
  </si>
  <si>
    <t>(-) Land Contract</t>
  </si>
  <si>
    <t xml:space="preserve">Construction Financing &amp; Carrying </t>
  </si>
  <si>
    <t>NET CASH FLOW</t>
  </si>
  <si>
    <t>Permanent Financing</t>
  </si>
  <si>
    <t>Leasing</t>
  </si>
  <si>
    <t>Total Soft Costs</t>
  </si>
  <si>
    <t xml:space="preserve">sq. ft. </t>
  </si>
  <si>
    <t>OWNERSHIP/RETURNS</t>
  </si>
  <si>
    <t>YR 1</t>
  </si>
  <si>
    <t>YR 2</t>
  </si>
  <si>
    <t>YR 3</t>
  </si>
  <si>
    <t>YR 4</t>
  </si>
  <si>
    <t>YR 5</t>
  </si>
  <si>
    <t>YR 6</t>
  </si>
  <si>
    <t>YR 7</t>
  </si>
  <si>
    <t>YR 8</t>
  </si>
  <si>
    <t>YR 9</t>
  </si>
  <si>
    <t>YR 10</t>
  </si>
  <si>
    <t>TOTAL PROJECT COST</t>
  </si>
  <si>
    <t>OPERATING PRO FORMA (PER YEAR)</t>
  </si>
  <si>
    <t>Micro Retail Income</t>
  </si>
  <si>
    <t>Bar Income</t>
  </si>
  <si>
    <t>Coffee Corner Income</t>
  </si>
  <si>
    <t>Juice Income</t>
  </si>
  <si>
    <t>per month</t>
  </si>
  <si>
    <t>Total Income</t>
  </si>
  <si>
    <t>Other</t>
  </si>
  <si>
    <t>(-) Vacancy – Commercial</t>
  </si>
  <si>
    <t>(-) Fire Insurance – Commercial</t>
  </si>
  <si>
    <t>(-) Taxes</t>
  </si>
  <si>
    <t>Revenue (3% escalator)</t>
  </si>
  <si>
    <t>Expenses (3% escalator)</t>
  </si>
  <si>
    <t xml:space="preserve">(-) Water </t>
  </si>
  <si>
    <t>(-) Trash/Utilities</t>
  </si>
  <si>
    <t>NOI</t>
  </si>
  <si>
    <t>(-) Repairs &amp; Maintenance</t>
  </si>
  <si>
    <t xml:space="preserve">Debt Service </t>
  </si>
  <si>
    <t>(-) Replacement Reserves</t>
  </si>
  <si>
    <t>(-) Misc. Expenses</t>
  </si>
  <si>
    <t>(-) Commercial Management  (Cavenaugh)</t>
  </si>
  <si>
    <t>Combined DCR</t>
  </si>
  <si>
    <t>Total Expenses</t>
  </si>
  <si>
    <t>Non-Replacement Reserve</t>
  </si>
  <si>
    <t>...per unit</t>
  </si>
  <si>
    <t>PROJECT APPRECIATION at 3%</t>
  </si>
  <si>
    <t>…per sq. ft.</t>
  </si>
  <si>
    <t>NET SALES PROCEEDS</t>
  </si>
  <si>
    <t>LOAN BALANCE</t>
  </si>
  <si>
    <t>TOTAL EQUITY</t>
  </si>
  <si>
    <t>10 yr IRR</t>
  </si>
  <si>
    <t>SECURITY DEPOSIT</t>
  </si>
  <si>
    <t>3% YEARLY BUMP</t>
  </si>
  <si>
    <t>RENT/MO</t>
  </si>
  <si>
    <t>RENT/YR</t>
  </si>
  <si>
    <t>EXPENSE RATIO: TRASH</t>
  </si>
  <si>
    <t xml:space="preserve"> </t>
  </si>
  <si>
    <t>NOTE  -  THIS PROFORMA PREPARED BY MANAGER DOES NOT TAKE INTO ACCOUNT OR MAKE ANY PROVISION FOR ANY CHANGE IN LOCAL OR GENERAL ECONOMIC CONDITIONS, OR INCREASES IN REDEVELOPMENT COSTS OR THE AFFECTS OF ANY DELAYS IN COMMENCING</t>
  </si>
  <si>
    <t> THE REDEVELOPMENT PROCESS OR DECREASES IN RENTAL RATES.  BY EXECUTING THIS AGREEMENT, EACH MEMBER ACKNOWLEDGES THAT MANAGER IS NOT MAKING ANY WARRANTIES OR GUARANTIES OR ANY REPRESENTATION WITH RESPECT TO ANY OF THE PROJECTIONS</t>
  </si>
  <si>
    <t>SET FORTH IN THIS PROFORMA.  PROFORMAS ARE SUBJECT TO UNCERTAINTY AND VARIATION AND THEREFORE ARE NOT REPRESENTED AS RESULTS THAT WILL ACTUALLY BE ACHIEVED.</t>
  </si>
  <si>
    <t>THIS PROFORMA IS NOT INTENDED AS INDUCEMENT FOR ANY MEMBER TO ENTER INTO THIS AGREEMENT OR BECOME A MEMBER OF THE COMPANY.</t>
  </si>
  <si>
    <t>Rua</t>
  </si>
  <si>
    <t>Slice</t>
  </si>
  <si>
    <t>ChickPDX</t>
  </si>
  <si>
    <t>Bywater Grocery</t>
  </si>
  <si>
    <t>Bang</t>
  </si>
  <si>
    <t>Seven Virtues</t>
  </si>
  <si>
    <t>Paydirt</t>
  </si>
  <si>
    <t>base/sq.ft</t>
  </si>
  <si>
    <t>total w/ common area rent</t>
  </si>
  <si>
    <t xml:space="preserve">Hard Cost Contingency   </t>
  </si>
  <si>
    <t>Permanent Furn/Fix./Equip.</t>
  </si>
  <si>
    <t>EXPENSE RATIO:</t>
  </si>
  <si>
    <t>GARBAGE</t>
  </si>
  <si>
    <t>TAXES &amp; INSUR</t>
  </si>
  <si>
    <t>COMMON UTIL</t>
  </si>
  <si>
    <t>CLEANING &amp; SUPPLIES</t>
  </si>
  <si>
    <t>Investor</t>
  </si>
  <si>
    <t xml:space="preserve">Investor </t>
  </si>
  <si>
    <t>Unit 0</t>
  </si>
  <si>
    <t>UNIT 1</t>
  </si>
  <si>
    <t xml:space="preserve">UNIT 2 </t>
  </si>
  <si>
    <t>UNIT 3</t>
  </si>
  <si>
    <t xml:space="preserve">UNIT 4 </t>
  </si>
  <si>
    <t xml:space="preserve">UNIT 5+6 </t>
  </si>
  <si>
    <t>Unit 7</t>
  </si>
  <si>
    <t>The Zipper</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</si>
</sst>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quot;, &quot;yyyy"/>
    <numFmt numFmtId="165" formatCode="#,##0\ ;\(#,##0\)"/>
    <numFmt numFmtId="166" formatCode="\$#,##0"/>
    <numFmt numFmtId="167" formatCode="&quot; $&quot;#,##0.00\ ;&quot; $(&quot;#,##0.00\);&quot; $-&quot;#\ ;@\ "/>
    <numFmt numFmtId="168" formatCode="&quot; $&quot;#,##0\ ;&quot; $(&quot;#,##0\);&quot; $-&quot;#\ ;@\ "/>
    <numFmt numFmtId="169" formatCode="\$#,##0\ ;[Red]&quot;($&quot;#,##0\)"/>
    <numFmt numFmtId="170" formatCode="#,##0.00\ ;&quot; (&quot;#,##0.00\);&quot; -&quot;#\ ;@\ "/>
    <numFmt numFmtId="171" formatCode="#,##0\ ;&quot; (&quot;#,##0\);&quot; -&quot;#\ ;@\ "/>
    <numFmt numFmtId="172" formatCode="#,##0.00\ ;\(#,##0.00\)"/>
    <numFmt numFmtId="173" formatCode="0.00\ ;[Red]\(0.00\)"/>
    <numFmt numFmtId="174" formatCode="0.000%"/>
    <numFmt numFmtId="175" formatCode="#,##0\ ;[Red]\(#,##0\)"/>
    <numFmt numFmtId="176" formatCode="#,##0.0"/>
    <numFmt numFmtId="177" formatCode="0.0%"/>
    <numFmt numFmtId="178" formatCode="\$#,##0\ ;&quot;($&quot;#,##0\)"/>
    <numFmt numFmtId="179" formatCode="&quot; $&quot;#,##0\ ;&quot; $(&quot;#,##0\);&quot; $- &quot;;@\ "/>
    <numFmt numFmtId="180" formatCode="\$#,##0.00\ ;[Red]&quot;($&quot;#,##0.00\)"/>
    <numFmt numFmtId="181" formatCode="[$$-409]#,##0.00;[Red][$$-409]#,##0.00"/>
    <numFmt numFmtId="182" formatCode="#,##0.00000\ ;[Red]\(#,##0.00000\)"/>
    <numFmt numFmtId="183" formatCode="[$$-409]#,##0;\-[$$-409]#,##0"/>
    <numFmt numFmtId="184" formatCode="#,##0.00;[Red]\-#,##0.00"/>
    <numFmt numFmtId="185" formatCode="0.00\ ;\(0.00\)"/>
    <numFmt numFmtId="186" formatCode="mmmm\ d&quot;, &quot;yyyy;@"/>
    <numFmt numFmtId="187" formatCode="0.000%\ "/>
    <numFmt numFmtId="188" formatCode="0\ "/>
    <numFmt numFmtId="189" formatCode="&quot; $&quot;#,##0.000\ ;&quot; $(&quot;#,##0.000\);&quot; $-&quot;#.0\ ;@\ "/>
    <numFmt numFmtId="190" formatCode="&quot; $&quot;#,##0.0\ ;&quot; $(&quot;#,##0.0\);&quot; $-&quot;#\ ;@\ "/>
    <numFmt numFmtId="191" formatCode="&quot;Yes&quot;;&quot;Yes&quot;;&quot;No&quot;"/>
    <numFmt numFmtId="192" formatCode="&quot;True&quot;;&quot;True&quot;;&quot;False&quot;"/>
    <numFmt numFmtId="193" formatCode="&quot;On&quot;;&quot;On&quot;;&quot;Off&quot;"/>
    <numFmt numFmtId="194" formatCode="[$€-2]\ #,##0.00_);[Red]\([$€-2]\ #,##0.00\)"/>
  </numFmts>
  <fonts count="49">
    <font>
      <sz val="10"/>
      <name val="Arial"/>
      <family val="2"/>
    </font>
    <font>
      <sz val="10"/>
      <name val="Geneva"/>
      <family val="2"/>
    </font>
    <font>
      <b/>
      <sz val="14"/>
      <color indexed="10"/>
      <name val="Arial"/>
      <family val="2"/>
    </font>
    <font>
      <b/>
      <sz val="14"/>
      <color indexed="8"/>
      <name val="Arial"/>
      <family val="2"/>
    </font>
    <font>
      <b/>
      <sz val="10"/>
      <color indexed="8"/>
      <name val="Arial"/>
      <family val="2"/>
    </font>
    <font>
      <b/>
      <sz val="10"/>
      <name val="Arial"/>
      <family val="2"/>
    </font>
    <font>
      <b/>
      <sz val="12"/>
      <name val="Arial"/>
      <family val="2"/>
    </font>
    <font>
      <b/>
      <sz val="10"/>
      <color indexed="53"/>
      <name val="Arial"/>
      <family val="2"/>
    </font>
    <font>
      <b/>
      <sz val="10"/>
      <color indexed="12"/>
      <name val="Arial"/>
      <family val="2"/>
    </font>
    <font>
      <b/>
      <u val="single"/>
      <sz val="10"/>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222222"/>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34"/>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style="medium"/>
      <bottom style="mediu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0" fontId="0" fillId="0" borderId="0" applyFill="0" applyBorder="0" applyAlignment="0" applyProtection="0"/>
    <xf numFmtId="41" fontId="0" fillId="0" borderId="0" applyFill="0" applyBorder="0" applyAlignment="0" applyProtection="0"/>
    <xf numFmtId="167" fontId="0" fillId="0" borderId="0" applyFill="0" applyBorder="0" applyAlignment="0" applyProtection="0"/>
    <xf numFmtId="42" fontId="0" fillId="0" borderId="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10">
    <xf numFmtId="0" fontId="0" fillId="0" borderId="0" xfId="0" applyAlignment="1">
      <alignment/>
    </xf>
    <xf numFmtId="0" fontId="3" fillId="0" borderId="10" xfId="0" applyFont="1" applyFill="1" applyBorder="1" applyAlignment="1">
      <alignment horizontal="center"/>
    </xf>
    <xf numFmtId="0" fontId="3" fillId="0" borderId="0" xfId="0" applyFont="1" applyFill="1" applyBorder="1" applyAlignment="1">
      <alignment horizontal="center"/>
    </xf>
    <xf numFmtId="0" fontId="4" fillId="0" borderId="11" xfId="0" applyFont="1" applyBorder="1" applyAlignment="1">
      <alignment horizontal="center"/>
    </xf>
    <xf numFmtId="0" fontId="5" fillId="33" borderId="12" xfId="0" applyFont="1" applyFill="1" applyBorder="1" applyAlignment="1">
      <alignment horizontal="center"/>
    </xf>
    <xf numFmtId="0" fontId="0" fillId="0" borderId="0" xfId="0" applyFill="1" applyBorder="1" applyAlignment="1">
      <alignment/>
    </xf>
    <xf numFmtId="0" fontId="0" fillId="0" borderId="13" xfId="0" applyFont="1" applyBorder="1" applyAlignment="1">
      <alignment/>
    </xf>
    <xf numFmtId="0" fontId="0" fillId="0" borderId="14" xfId="0" applyBorder="1" applyAlignment="1">
      <alignment/>
    </xf>
    <xf numFmtId="0" fontId="0" fillId="0" borderId="14" xfId="0" applyBorder="1" applyAlignment="1">
      <alignment horizontal="right"/>
    </xf>
    <xf numFmtId="3" fontId="0" fillId="0" borderId="15" xfId="0" applyNumberFormat="1" applyBorder="1" applyAlignment="1">
      <alignment horizontal="right"/>
    </xf>
    <xf numFmtId="10" fontId="0" fillId="0" borderId="15" xfId="0" applyNumberFormat="1" applyBorder="1" applyAlignment="1">
      <alignment horizontal="right"/>
    </xf>
    <xf numFmtId="165" fontId="0" fillId="0" borderId="0" xfId="57" applyNumberFormat="1" applyFont="1" applyFill="1" applyBorder="1" applyProtection="1">
      <alignment/>
      <protection/>
    </xf>
    <xf numFmtId="165" fontId="0" fillId="0" borderId="0" xfId="57" applyNumberFormat="1" applyFont="1" applyFill="1" applyBorder="1">
      <alignment/>
      <protection/>
    </xf>
    <xf numFmtId="0" fontId="6" fillId="0" borderId="0" xfId="0" applyFont="1" applyFill="1" applyBorder="1" applyAlignment="1">
      <alignment/>
    </xf>
    <xf numFmtId="0" fontId="0" fillId="0" borderId="16" xfId="0" applyFont="1" applyBorder="1" applyAlignment="1">
      <alignment/>
    </xf>
    <xf numFmtId="3" fontId="0" fillId="0" borderId="17" xfId="0" applyNumberFormat="1" applyBorder="1" applyAlignment="1">
      <alignment horizontal="right"/>
    </xf>
    <xf numFmtId="0" fontId="0" fillId="0" borderId="18" xfId="0" applyFont="1" applyBorder="1" applyAlignment="1">
      <alignment/>
    </xf>
    <xf numFmtId="0" fontId="0" fillId="0" borderId="0" xfId="0" applyBorder="1" applyAlignment="1">
      <alignment/>
    </xf>
    <xf numFmtId="0" fontId="0" fillId="0" borderId="19" xfId="0" applyBorder="1" applyAlignment="1">
      <alignment horizontal="right"/>
    </xf>
    <xf numFmtId="0" fontId="0" fillId="0" borderId="14" xfId="0" applyFont="1" applyFill="1" applyBorder="1" applyAlignment="1">
      <alignment/>
    </xf>
    <xf numFmtId="166" fontId="0" fillId="0" borderId="14" xfId="0" applyNumberFormat="1" applyBorder="1" applyAlignment="1">
      <alignment/>
    </xf>
    <xf numFmtId="9" fontId="0" fillId="0" borderId="0" xfId="60" applyFill="1" applyBorder="1" applyAlignment="1" applyProtection="1">
      <alignment/>
      <protection/>
    </xf>
    <xf numFmtId="0" fontId="5" fillId="0" borderId="18" xfId="0" applyFont="1" applyBorder="1" applyAlignment="1">
      <alignment/>
    </xf>
    <xf numFmtId="0" fontId="5" fillId="0" borderId="0" xfId="0" applyFont="1" applyBorder="1" applyAlignment="1">
      <alignment/>
    </xf>
    <xf numFmtId="3" fontId="5" fillId="0" borderId="19" xfId="0" applyNumberFormat="1" applyFont="1" applyBorder="1" applyAlignment="1">
      <alignment horizontal="right"/>
    </xf>
    <xf numFmtId="166" fontId="0" fillId="0" borderId="0" xfId="0" applyNumberFormat="1" applyFont="1" applyBorder="1" applyAlignment="1">
      <alignment/>
    </xf>
    <xf numFmtId="10" fontId="0" fillId="0" borderId="0" xfId="57" applyNumberFormat="1" applyFont="1" applyFill="1" applyBorder="1" applyAlignment="1">
      <alignment horizontal="right"/>
      <protection/>
    </xf>
    <xf numFmtId="0" fontId="0" fillId="0" borderId="19" xfId="0" applyBorder="1" applyAlignment="1">
      <alignment/>
    </xf>
    <xf numFmtId="3" fontId="5" fillId="0" borderId="19" xfId="0" applyNumberFormat="1" applyFont="1" applyBorder="1" applyAlignment="1">
      <alignment/>
    </xf>
    <xf numFmtId="166" fontId="0" fillId="0" borderId="0" xfId="0" applyNumberFormat="1" applyAlignment="1">
      <alignment/>
    </xf>
    <xf numFmtId="0" fontId="0" fillId="0" borderId="18" xfId="0" applyFont="1" applyFill="1" applyBorder="1" applyAlignment="1">
      <alignment/>
    </xf>
    <xf numFmtId="3" fontId="0" fillId="0" borderId="19" xfId="0" applyNumberFormat="1" applyBorder="1" applyAlignment="1">
      <alignment horizontal="right"/>
    </xf>
    <xf numFmtId="9" fontId="7" fillId="0" borderId="19" xfId="0" applyNumberFormat="1" applyFont="1" applyBorder="1" applyAlignment="1">
      <alignment horizontal="right"/>
    </xf>
    <xf numFmtId="166" fontId="0" fillId="0" borderId="0" xfId="0" applyNumberFormat="1" applyBorder="1" applyAlignment="1">
      <alignment/>
    </xf>
    <xf numFmtId="3" fontId="0" fillId="0" borderId="19" xfId="0" applyNumberFormat="1" applyFill="1" applyBorder="1" applyAlignment="1">
      <alignment horizontal="right"/>
    </xf>
    <xf numFmtId="168" fontId="0" fillId="0" borderId="0" xfId="44" applyNumberFormat="1" applyFill="1" applyBorder="1" applyAlignment="1" applyProtection="1">
      <alignment/>
      <protection/>
    </xf>
    <xf numFmtId="9" fontId="0" fillId="0" borderId="0" xfId="60" applyFont="1" applyFill="1" applyBorder="1" applyAlignment="1" applyProtection="1">
      <alignment horizontal="left"/>
      <protection/>
    </xf>
    <xf numFmtId="0" fontId="0" fillId="0" borderId="18" xfId="0" applyFont="1" applyFill="1" applyBorder="1" applyAlignment="1">
      <alignment horizontal="right"/>
    </xf>
    <xf numFmtId="9" fontId="0" fillId="0" borderId="19" xfId="0" applyNumberFormat="1" applyFont="1" applyBorder="1" applyAlignment="1">
      <alignment/>
    </xf>
    <xf numFmtId="0" fontId="5" fillId="0" borderId="20" xfId="0" applyFont="1" applyBorder="1" applyAlignment="1">
      <alignment/>
    </xf>
    <xf numFmtId="0" fontId="5" fillId="0" borderId="16" xfId="0" applyFont="1" applyBorder="1" applyAlignment="1">
      <alignment/>
    </xf>
    <xf numFmtId="169" fontId="5" fillId="0" borderId="17" xfId="0" applyNumberFormat="1" applyFont="1" applyBorder="1" applyAlignment="1">
      <alignment horizontal="right"/>
    </xf>
    <xf numFmtId="3" fontId="0" fillId="0" borderId="0" xfId="0" applyNumberFormat="1" applyAlignment="1">
      <alignment/>
    </xf>
    <xf numFmtId="0" fontId="0" fillId="0" borderId="0" xfId="0" applyFont="1" applyBorder="1" applyAlignment="1">
      <alignment/>
    </xf>
    <xf numFmtId="9" fontId="0" fillId="0" borderId="0" xfId="60" applyFont="1" applyFill="1" applyBorder="1" applyAlignment="1" applyProtection="1">
      <alignment horizontal="right"/>
      <protection/>
    </xf>
    <xf numFmtId="170" fontId="0" fillId="0" borderId="0" xfId="0" applyNumberFormat="1" applyAlignment="1">
      <alignment/>
    </xf>
    <xf numFmtId="171" fontId="0" fillId="0" borderId="0" xfId="42" applyNumberFormat="1" applyFill="1" applyBorder="1" applyAlignment="1" applyProtection="1">
      <alignment/>
      <protection/>
    </xf>
    <xf numFmtId="0" fontId="5" fillId="0" borderId="0" xfId="0" applyFont="1" applyAlignment="1">
      <alignment horizontal="center"/>
    </xf>
    <xf numFmtId="0" fontId="5" fillId="0" borderId="19" xfId="0" applyFont="1" applyBorder="1" applyAlignment="1">
      <alignment horizontal="center"/>
    </xf>
    <xf numFmtId="169" fontId="5" fillId="0" borderId="0" xfId="0" applyNumberFormat="1" applyFont="1" applyBorder="1" applyAlignment="1">
      <alignment horizontal="right"/>
    </xf>
    <xf numFmtId="169" fontId="5" fillId="0" borderId="19" xfId="0" applyNumberFormat="1" applyFont="1" applyBorder="1" applyAlignment="1">
      <alignment horizontal="right"/>
    </xf>
    <xf numFmtId="0" fontId="5" fillId="0" borderId="0" xfId="0" applyFont="1" applyFill="1" applyBorder="1" applyAlignment="1">
      <alignment horizontal="right"/>
    </xf>
    <xf numFmtId="0" fontId="0" fillId="0" borderId="20" xfId="0" applyFont="1" applyFill="1" applyBorder="1" applyAlignment="1">
      <alignment horizontal="right"/>
    </xf>
    <xf numFmtId="0" fontId="0" fillId="0" borderId="17" xfId="0" applyBorder="1" applyAlignment="1">
      <alignment/>
    </xf>
    <xf numFmtId="174" fontId="8" fillId="0" borderId="0" xfId="0" applyNumberFormat="1" applyFont="1" applyAlignment="1">
      <alignment/>
    </xf>
    <xf numFmtId="174" fontId="0" fillId="0" borderId="19" xfId="0" applyNumberFormat="1" applyBorder="1" applyAlignment="1">
      <alignment horizontal="right"/>
    </xf>
    <xf numFmtId="0" fontId="0" fillId="0" borderId="0" xfId="0" applyFont="1" applyBorder="1" applyAlignment="1">
      <alignment horizontal="right"/>
    </xf>
    <xf numFmtId="0" fontId="0" fillId="0" borderId="18" xfId="0" applyFont="1" applyBorder="1" applyAlignment="1">
      <alignment horizontal="right"/>
    </xf>
    <xf numFmtId="2" fontId="8" fillId="0" borderId="0" xfId="0" applyNumberFormat="1" applyFont="1" applyAlignment="1">
      <alignment/>
    </xf>
    <xf numFmtId="173" fontId="0" fillId="0" borderId="0" xfId="0" applyNumberFormat="1" applyFont="1" applyBorder="1" applyAlignment="1">
      <alignment horizontal="right"/>
    </xf>
    <xf numFmtId="0" fontId="0" fillId="0" borderId="16" xfId="0" applyFont="1" applyFill="1" applyBorder="1" applyAlignment="1">
      <alignment horizontal="right"/>
    </xf>
    <xf numFmtId="9" fontId="0" fillId="0" borderId="17" xfId="60" applyNumberFormat="1" applyFont="1" applyFill="1" applyBorder="1" applyAlignment="1" applyProtection="1">
      <alignment/>
      <protection/>
    </xf>
    <xf numFmtId="166" fontId="5" fillId="0" borderId="19" xfId="0" applyNumberFormat="1" applyFont="1" applyBorder="1" applyAlignment="1">
      <alignment horizontal="right"/>
    </xf>
    <xf numFmtId="168" fontId="5" fillId="0" borderId="0" xfId="44" applyNumberFormat="1" applyFont="1" applyFill="1" applyBorder="1" applyAlignment="1" applyProtection="1">
      <alignment/>
      <protection/>
    </xf>
    <xf numFmtId="175" fontId="0" fillId="0" borderId="0" xfId="0" applyNumberFormat="1" applyFont="1" applyBorder="1" applyAlignment="1">
      <alignment horizontal="center"/>
    </xf>
    <xf numFmtId="175" fontId="0" fillId="0" borderId="0" xfId="0" applyNumberFormat="1" applyBorder="1" applyAlignment="1">
      <alignment horizontal="center"/>
    </xf>
    <xf numFmtId="0" fontId="5" fillId="33" borderId="18" xfId="0" applyFont="1" applyFill="1" applyBorder="1" applyAlignment="1">
      <alignment wrapText="1"/>
    </xf>
    <xf numFmtId="176" fontId="5" fillId="33" borderId="0" xfId="44" applyNumberFormat="1" applyFont="1" applyFill="1" applyBorder="1" applyAlignment="1" applyProtection="1">
      <alignment wrapText="1"/>
      <protection/>
    </xf>
    <xf numFmtId="167" fontId="5" fillId="33" borderId="0" xfId="44" applyFont="1" applyFill="1" applyBorder="1" applyAlignment="1" applyProtection="1">
      <alignment horizontal="left"/>
      <protection/>
    </xf>
    <xf numFmtId="9" fontId="5" fillId="33" borderId="0" xfId="44" applyNumberFormat="1" applyFont="1" applyFill="1" applyBorder="1" applyAlignment="1" applyProtection="1">
      <alignment horizontal="right"/>
      <protection/>
    </xf>
    <xf numFmtId="169" fontId="5" fillId="33" borderId="19" xfId="0" applyNumberFormat="1" applyFont="1" applyFill="1" applyBorder="1" applyAlignment="1">
      <alignment horizontal="right"/>
    </xf>
    <xf numFmtId="177" fontId="8" fillId="0" borderId="19" xfId="0" applyNumberFormat="1" applyFont="1" applyBorder="1" applyAlignment="1">
      <alignment/>
    </xf>
    <xf numFmtId="178" fontId="5" fillId="0" borderId="19" xfId="0" applyNumberFormat="1" applyFont="1" applyBorder="1" applyAlignment="1">
      <alignment/>
    </xf>
    <xf numFmtId="9" fontId="0" fillId="0" borderId="0" xfId="0" applyNumberFormat="1" applyFont="1" applyFill="1" applyAlignment="1">
      <alignment/>
    </xf>
    <xf numFmtId="173" fontId="5" fillId="0" borderId="0" xfId="0" applyNumberFormat="1" applyFont="1" applyBorder="1" applyAlignment="1">
      <alignment horizontal="right"/>
    </xf>
    <xf numFmtId="168" fontId="5" fillId="33" borderId="0" xfId="0" applyNumberFormat="1" applyFont="1" applyFill="1" applyBorder="1" applyAlignment="1">
      <alignment wrapText="1"/>
    </xf>
    <xf numFmtId="169" fontId="5" fillId="0" borderId="0" xfId="0" applyNumberFormat="1" applyFont="1" applyAlignment="1">
      <alignment/>
    </xf>
    <xf numFmtId="176" fontId="5" fillId="33" borderId="0" xfId="0" applyNumberFormat="1" applyFont="1" applyFill="1" applyBorder="1" applyAlignment="1">
      <alignment wrapText="1"/>
    </xf>
    <xf numFmtId="174" fontId="8" fillId="0" borderId="19" xfId="0" applyNumberFormat="1" applyFont="1" applyBorder="1" applyAlignment="1">
      <alignment horizontal="right"/>
    </xf>
    <xf numFmtId="0" fontId="0" fillId="0" borderId="0" xfId="0" applyFill="1" applyAlignment="1">
      <alignment/>
    </xf>
    <xf numFmtId="167" fontId="5" fillId="33" borderId="0" xfId="44" applyFont="1" applyFill="1" applyBorder="1" applyAlignment="1" applyProtection="1">
      <alignment horizontal="right"/>
      <protection/>
    </xf>
    <xf numFmtId="171" fontId="5" fillId="33" borderId="19" xfId="42" applyNumberFormat="1" applyFont="1" applyFill="1" applyBorder="1" applyAlignment="1" applyProtection="1">
      <alignment horizontal="right"/>
      <protection/>
    </xf>
    <xf numFmtId="169" fontId="0" fillId="0" borderId="16" xfId="0" applyNumberFormat="1" applyFont="1" applyBorder="1" applyAlignment="1">
      <alignment/>
    </xf>
    <xf numFmtId="0" fontId="5" fillId="33" borderId="0" xfId="0" applyFont="1" applyFill="1" applyBorder="1" applyAlignment="1">
      <alignment wrapText="1"/>
    </xf>
    <xf numFmtId="167" fontId="5" fillId="33" borderId="19" xfId="44" applyFont="1" applyFill="1" applyBorder="1" applyAlignment="1" applyProtection="1">
      <alignment horizontal="right"/>
      <protection/>
    </xf>
    <xf numFmtId="179" fontId="0" fillId="0" borderId="19" xfId="42" applyNumberFormat="1" applyFont="1" applyFill="1" applyBorder="1" applyAlignment="1" applyProtection="1">
      <alignment horizontal="right"/>
      <protection/>
    </xf>
    <xf numFmtId="169" fontId="0" fillId="0" borderId="0" xfId="0" applyNumberFormat="1" applyAlignment="1">
      <alignment/>
    </xf>
    <xf numFmtId="0" fontId="5" fillId="33" borderId="18" xfId="0" applyFont="1" applyFill="1" applyBorder="1" applyAlignment="1">
      <alignment/>
    </xf>
    <xf numFmtId="0" fontId="5" fillId="33" borderId="0" xfId="0" applyFont="1" applyFill="1" applyBorder="1" applyAlignment="1">
      <alignment/>
    </xf>
    <xf numFmtId="179" fontId="5" fillId="33" borderId="19" xfId="0" applyNumberFormat="1" applyFont="1" applyFill="1" applyBorder="1" applyAlignment="1">
      <alignment horizontal="right"/>
    </xf>
    <xf numFmtId="9" fontId="0" fillId="0" borderId="0" xfId="0" applyNumberFormat="1" applyBorder="1" applyAlignment="1">
      <alignment/>
    </xf>
    <xf numFmtId="169" fontId="0" fillId="0" borderId="19" xfId="42" applyNumberFormat="1" applyFont="1" applyFill="1" applyBorder="1" applyAlignment="1" applyProtection="1">
      <alignment horizontal="right"/>
      <protection/>
    </xf>
    <xf numFmtId="169" fontId="0" fillId="0" borderId="19" xfId="0" applyNumberFormat="1" applyBorder="1" applyAlignment="1">
      <alignment horizontal="right"/>
    </xf>
    <xf numFmtId="169" fontId="0" fillId="0" borderId="0" xfId="42" applyNumberFormat="1" applyFont="1" applyFill="1" applyBorder="1" applyAlignment="1" applyProtection="1">
      <alignment horizontal="right"/>
      <protection/>
    </xf>
    <xf numFmtId="169" fontId="0" fillId="0" borderId="0" xfId="0" applyNumberFormat="1" applyFont="1" applyAlignment="1">
      <alignment/>
    </xf>
    <xf numFmtId="0" fontId="5" fillId="0" borderId="13" xfId="0" applyFont="1" applyBorder="1" applyAlignment="1">
      <alignment/>
    </xf>
    <xf numFmtId="0" fontId="5" fillId="0" borderId="14" xfId="0" applyFont="1" applyBorder="1" applyAlignment="1">
      <alignment/>
    </xf>
    <xf numFmtId="180" fontId="5" fillId="33" borderId="14" xfId="0" applyNumberFormat="1" applyFont="1" applyFill="1" applyBorder="1" applyAlignment="1">
      <alignment horizontal="right"/>
    </xf>
    <xf numFmtId="168" fontId="5" fillId="33" borderId="19" xfId="44" applyNumberFormat="1" applyFont="1" applyFill="1" applyBorder="1" applyAlignment="1" applyProtection="1">
      <alignment horizontal="right"/>
      <protection/>
    </xf>
    <xf numFmtId="169" fontId="0" fillId="0" borderId="19" xfId="42" applyNumberFormat="1" applyFont="1" applyFill="1" applyBorder="1" applyAlignment="1" applyProtection="1">
      <alignment/>
      <protection/>
    </xf>
    <xf numFmtId="168" fontId="0" fillId="0" borderId="0" xfId="0" applyNumberFormat="1" applyAlignment="1">
      <alignment/>
    </xf>
    <xf numFmtId="3" fontId="0" fillId="0" borderId="0" xfId="0" applyNumberFormat="1" applyBorder="1" applyAlignment="1">
      <alignment horizontal="center"/>
    </xf>
    <xf numFmtId="180" fontId="5" fillId="33" borderId="0" xfId="0" applyNumberFormat="1" applyFont="1" applyFill="1" applyBorder="1" applyAlignment="1">
      <alignment horizontal="right"/>
    </xf>
    <xf numFmtId="0" fontId="0" fillId="0" borderId="0" xfId="0" applyFont="1" applyAlignment="1">
      <alignment/>
    </xf>
    <xf numFmtId="168" fontId="0" fillId="0" borderId="19" xfId="44" applyNumberFormat="1" applyFill="1" applyBorder="1" applyAlignment="1" applyProtection="1">
      <alignment/>
      <protection/>
    </xf>
    <xf numFmtId="177" fontId="0" fillId="0" borderId="0" xfId="60" applyNumberFormat="1" applyFill="1" applyBorder="1" applyAlignment="1" applyProtection="1">
      <alignment horizontal="right"/>
      <protection/>
    </xf>
    <xf numFmtId="177" fontId="0" fillId="0" borderId="0" xfId="0" applyNumberFormat="1" applyBorder="1" applyAlignment="1">
      <alignment horizontal="right"/>
    </xf>
    <xf numFmtId="177" fontId="0" fillId="0" borderId="0" xfId="60" applyNumberFormat="1" applyFont="1" applyFill="1" applyBorder="1" applyAlignment="1" applyProtection="1">
      <alignment/>
      <protection/>
    </xf>
    <xf numFmtId="168" fontId="5" fillId="0" borderId="19" xfId="44" applyNumberFormat="1" applyFont="1" applyFill="1" applyBorder="1" applyAlignment="1" applyProtection="1">
      <alignment horizontal="right"/>
      <protection/>
    </xf>
    <xf numFmtId="177" fontId="0" fillId="0" borderId="18" xfId="60" applyNumberFormat="1" applyFont="1" applyFill="1" applyBorder="1" applyAlignment="1" applyProtection="1">
      <alignment/>
      <protection/>
    </xf>
    <xf numFmtId="181" fontId="0" fillId="0" borderId="0" xfId="0" applyNumberFormat="1" applyAlignment="1">
      <alignment/>
    </xf>
    <xf numFmtId="177" fontId="0" fillId="0" borderId="0" xfId="0" applyNumberFormat="1" applyAlignment="1">
      <alignment horizontal="right"/>
    </xf>
    <xf numFmtId="0" fontId="5" fillId="34" borderId="18" xfId="0" applyFont="1" applyFill="1" applyBorder="1" applyAlignment="1">
      <alignment/>
    </xf>
    <xf numFmtId="0" fontId="0" fillId="34" borderId="0" xfId="0" applyFill="1" applyAlignment="1">
      <alignment/>
    </xf>
    <xf numFmtId="171" fontId="5" fillId="34" borderId="17" xfId="0" applyNumberFormat="1" applyFont="1" applyFill="1" applyBorder="1" applyAlignment="1">
      <alignment/>
    </xf>
    <xf numFmtId="182" fontId="0" fillId="0" borderId="0" xfId="60" applyNumberFormat="1" applyFont="1" applyFill="1" applyBorder="1" applyAlignment="1" applyProtection="1">
      <alignment horizontal="center"/>
      <protection/>
    </xf>
    <xf numFmtId="0" fontId="5" fillId="0" borderId="18" xfId="0" applyFont="1" applyFill="1" applyBorder="1" applyAlignment="1">
      <alignment/>
    </xf>
    <xf numFmtId="0" fontId="5" fillId="0" borderId="0" xfId="0" applyFont="1" applyFill="1" applyBorder="1" applyAlignment="1">
      <alignment/>
    </xf>
    <xf numFmtId="169" fontId="0" fillId="0" borderId="0" xfId="0" applyNumberFormat="1" applyBorder="1" applyAlignment="1">
      <alignment/>
    </xf>
    <xf numFmtId="169" fontId="5" fillId="33" borderId="12" xfId="42" applyNumberFormat="1" applyFont="1" applyFill="1" applyBorder="1" applyAlignment="1" applyProtection="1">
      <alignment horizontal="right"/>
      <protection/>
    </xf>
    <xf numFmtId="1" fontId="0" fillId="0" borderId="0" xfId="0" applyNumberFormat="1" applyAlignment="1">
      <alignment/>
    </xf>
    <xf numFmtId="177" fontId="0" fillId="0" borderId="18" xfId="0" applyNumberFormat="1" applyBorder="1" applyAlignment="1">
      <alignment/>
    </xf>
    <xf numFmtId="177" fontId="0" fillId="0" borderId="0" xfId="0" applyNumberFormat="1" applyBorder="1" applyAlignment="1">
      <alignment/>
    </xf>
    <xf numFmtId="0" fontId="5" fillId="33" borderId="21" xfId="0" applyFont="1" applyFill="1" applyBorder="1" applyAlignment="1">
      <alignment/>
    </xf>
    <xf numFmtId="0" fontId="5" fillId="33" borderId="22" xfId="0" applyFont="1" applyFill="1" applyBorder="1" applyAlignment="1">
      <alignment/>
    </xf>
    <xf numFmtId="169" fontId="5" fillId="33" borderId="23" xfId="42" applyNumberFormat="1" applyFont="1" applyFill="1" applyBorder="1" applyAlignment="1" applyProtection="1">
      <alignment horizontal="right"/>
      <protection/>
    </xf>
    <xf numFmtId="0" fontId="5" fillId="0" borderId="20" xfId="0" applyFont="1" applyFill="1" applyBorder="1" applyAlignment="1">
      <alignment/>
    </xf>
    <xf numFmtId="10" fontId="5" fillId="0" borderId="16" xfId="0" applyNumberFormat="1" applyFont="1" applyBorder="1" applyAlignment="1">
      <alignment/>
    </xf>
    <xf numFmtId="173" fontId="0" fillId="0" borderId="0" xfId="0" applyNumberFormat="1" applyBorder="1" applyAlignment="1">
      <alignment/>
    </xf>
    <xf numFmtId="0" fontId="5" fillId="0" borderId="24" xfId="0" applyFont="1" applyBorder="1" applyAlignment="1">
      <alignment/>
    </xf>
    <xf numFmtId="0" fontId="5" fillId="0" borderId="25" xfId="0" applyFont="1" applyBorder="1" applyAlignment="1">
      <alignment/>
    </xf>
    <xf numFmtId="177" fontId="0" fillId="0" borderId="25" xfId="0" applyNumberFormat="1" applyBorder="1" applyAlignment="1">
      <alignment horizontal="right"/>
    </xf>
    <xf numFmtId="168" fontId="5" fillId="0" borderId="26" xfId="44" applyNumberFormat="1" applyFont="1" applyFill="1" applyBorder="1" applyAlignment="1" applyProtection="1">
      <alignment horizontal="right"/>
      <protection/>
    </xf>
    <xf numFmtId="0" fontId="5" fillId="0" borderId="21" xfId="0" applyFont="1" applyBorder="1" applyAlignment="1">
      <alignment horizontal="right"/>
    </xf>
    <xf numFmtId="0" fontId="5" fillId="0" borderId="22" xfId="0" applyFont="1" applyBorder="1" applyAlignment="1">
      <alignment horizontal="right"/>
    </xf>
    <xf numFmtId="167" fontId="5" fillId="33" borderId="22" xfId="44" applyFont="1" applyFill="1" applyBorder="1" applyAlignment="1" applyProtection="1">
      <alignment/>
      <protection/>
    </xf>
    <xf numFmtId="0" fontId="5" fillId="33" borderId="22" xfId="0" applyFont="1" applyFill="1" applyBorder="1" applyAlignment="1">
      <alignment horizontal="right"/>
    </xf>
    <xf numFmtId="168" fontId="5" fillId="33" borderId="23" xfId="0" applyNumberFormat="1" applyFont="1" applyFill="1" applyBorder="1" applyAlignment="1">
      <alignment/>
    </xf>
    <xf numFmtId="0" fontId="5" fillId="0" borderId="18" xfId="0" applyFont="1" applyBorder="1" applyAlignment="1">
      <alignment horizontal="right"/>
    </xf>
    <xf numFmtId="0" fontId="5" fillId="0" borderId="0" xfId="0" applyFont="1" applyBorder="1" applyAlignment="1">
      <alignment horizontal="right"/>
    </xf>
    <xf numFmtId="10" fontId="0" fillId="0" borderId="0" xfId="0" applyNumberFormat="1" applyBorder="1" applyAlignment="1">
      <alignment horizontal="right"/>
    </xf>
    <xf numFmtId="10" fontId="0" fillId="0" borderId="0" xfId="0" applyNumberFormat="1" applyFont="1" applyBorder="1" applyAlignment="1">
      <alignment horizontal="left"/>
    </xf>
    <xf numFmtId="168" fontId="0" fillId="0" borderId="19" xfId="44" applyNumberFormat="1" applyFont="1" applyFill="1" applyBorder="1" applyAlignment="1" applyProtection="1">
      <alignment/>
      <protection/>
    </xf>
    <xf numFmtId="0" fontId="5" fillId="0" borderId="27" xfId="0" applyFont="1" applyFill="1" applyBorder="1" applyAlignment="1">
      <alignment/>
    </xf>
    <xf numFmtId="0" fontId="9" fillId="0" borderId="28" xfId="0" applyFont="1" applyFill="1" applyBorder="1" applyAlignment="1">
      <alignment horizontal="center"/>
    </xf>
    <xf numFmtId="0" fontId="5" fillId="0" borderId="21" xfId="0" applyFont="1" applyBorder="1" applyAlignment="1">
      <alignment/>
    </xf>
    <xf numFmtId="0" fontId="5" fillId="0" borderId="22" xfId="0" applyFont="1" applyBorder="1" applyAlignment="1">
      <alignment/>
    </xf>
    <xf numFmtId="167" fontId="5" fillId="33" borderId="22" xfId="44" applyNumberFormat="1" applyFont="1" applyFill="1" applyBorder="1" applyAlignment="1" applyProtection="1">
      <alignment horizontal="right"/>
      <protection/>
    </xf>
    <xf numFmtId="168" fontId="5" fillId="35" borderId="22" xfId="44" applyNumberFormat="1" applyFont="1" applyFill="1" applyBorder="1" applyAlignment="1" applyProtection="1">
      <alignment horizontal="right"/>
      <protection/>
    </xf>
    <xf numFmtId="177" fontId="0" fillId="0" borderId="12" xfId="60" applyNumberFormat="1" applyFont="1" applyFill="1" applyBorder="1" applyAlignment="1" applyProtection="1">
      <alignment/>
      <protection/>
    </xf>
    <xf numFmtId="0" fontId="5" fillId="0" borderId="29" xfId="0" applyFont="1" applyBorder="1" applyAlignment="1">
      <alignment/>
    </xf>
    <xf numFmtId="168" fontId="5" fillId="0" borderId="30" xfId="0" applyNumberFormat="1" applyFont="1" applyBorder="1" applyAlignment="1">
      <alignment horizontal="center"/>
    </xf>
    <xf numFmtId="183" fontId="0" fillId="0" borderId="0" xfId="0" applyNumberFormat="1" applyAlignment="1">
      <alignment/>
    </xf>
    <xf numFmtId="0" fontId="0" fillId="0" borderId="20" xfId="0" applyBorder="1" applyAlignment="1">
      <alignment/>
    </xf>
    <xf numFmtId="0" fontId="0" fillId="0" borderId="0" xfId="0" applyAlignment="1">
      <alignment horizontal="right"/>
    </xf>
    <xf numFmtId="0" fontId="0" fillId="0" borderId="17" xfId="0" applyBorder="1" applyAlignment="1">
      <alignment horizontal="right"/>
    </xf>
    <xf numFmtId="0" fontId="5" fillId="0" borderId="31" xfId="0" applyFont="1" applyFill="1" applyBorder="1" applyAlignment="1">
      <alignment/>
    </xf>
    <xf numFmtId="9" fontId="5" fillId="35" borderId="32" xfId="0" applyNumberFormat="1" applyFont="1" applyFill="1" applyBorder="1" applyAlignment="1">
      <alignment horizontal="center"/>
    </xf>
    <xf numFmtId="177" fontId="0" fillId="0" borderId="0" xfId="0" applyNumberFormat="1" applyFont="1" applyFill="1" applyBorder="1" applyAlignment="1">
      <alignment/>
    </xf>
    <xf numFmtId="0" fontId="5" fillId="0" borderId="0" xfId="0" applyFont="1" applyAlignment="1">
      <alignment/>
    </xf>
    <xf numFmtId="169" fontId="0" fillId="0" borderId="0" xfId="0" applyNumberFormat="1" applyFont="1" applyFill="1" applyBorder="1" applyAlignment="1">
      <alignment/>
    </xf>
    <xf numFmtId="168" fontId="0" fillId="0" borderId="14" xfId="0" applyNumberFormat="1" applyBorder="1" applyAlignment="1">
      <alignment horizontal="right"/>
    </xf>
    <xf numFmtId="0" fontId="0" fillId="0" borderId="14" xfId="0" applyBorder="1" applyAlignment="1">
      <alignment horizontal="left"/>
    </xf>
    <xf numFmtId="169" fontId="0" fillId="0" borderId="15" xfId="42" applyNumberFormat="1" applyFont="1" applyFill="1" applyBorder="1" applyAlignment="1" applyProtection="1">
      <alignment horizontal="right" indent="1"/>
      <protection/>
    </xf>
    <xf numFmtId="177" fontId="0" fillId="0" borderId="0" xfId="60" applyNumberFormat="1" applyFont="1" applyFill="1" applyBorder="1" applyAlignment="1" applyProtection="1">
      <alignment horizontal="right"/>
      <protection/>
    </xf>
    <xf numFmtId="168" fontId="0" fillId="0" borderId="0" xfId="0" applyNumberFormat="1" applyBorder="1" applyAlignment="1">
      <alignment horizontal="right"/>
    </xf>
    <xf numFmtId="169" fontId="0" fillId="0" borderId="19" xfId="42" applyNumberFormat="1" applyFont="1" applyFill="1" applyBorder="1" applyAlignment="1" applyProtection="1">
      <alignment horizontal="right" indent="1"/>
      <protection/>
    </xf>
    <xf numFmtId="0" fontId="0" fillId="0" borderId="18" xfId="0" applyFont="1" applyBorder="1" applyAlignment="1">
      <alignment horizontal="left"/>
    </xf>
    <xf numFmtId="169" fontId="0" fillId="0" borderId="0" xfId="0" applyNumberFormat="1" applyBorder="1" applyAlignment="1">
      <alignment horizontal="right"/>
    </xf>
    <xf numFmtId="165" fontId="0" fillId="0" borderId="0" xfId="0" applyNumberFormat="1" applyFill="1" applyBorder="1" applyAlignment="1">
      <alignment/>
    </xf>
    <xf numFmtId="9" fontId="0" fillId="0" borderId="16" xfId="0" applyNumberFormat="1" applyBorder="1" applyAlignment="1">
      <alignment horizontal="right"/>
    </xf>
    <xf numFmtId="169" fontId="0" fillId="0" borderId="17" xfId="42" applyNumberFormat="1" applyFont="1" applyFill="1" applyBorder="1" applyAlignment="1" applyProtection="1">
      <alignment horizontal="right" indent="1"/>
      <protection/>
    </xf>
    <xf numFmtId="184" fontId="0" fillId="0" borderId="0" xfId="42" applyNumberFormat="1" applyFont="1" applyFill="1" applyBorder="1" applyAlignment="1" applyProtection="1">
      <alignment horizontal="right" indent="1"/>
      <protection/>
    </xf>
    <xf numFmtId="168" fontId="0" fillId="0" borderId="0" xfId="44" applyNumberFormat="1" applyFont="1" applyFill="1" applyBorder="1" applyAlignment="1" applyProtection="1">
      <alignment horizontal="right"/>
      <protection/>
    </xf>
    <xf numFmtId="0" fontId="0" fillId="33" borderId="33" xfId="0" applyFill="1" applyBorder="1" applyAlignment="1">
      <alignment/>
    </xf>
    <xf numFmtId="0" fontId="9" fillId="33" borderId="34" xfId="0" applyFont="1" applyFill="1" applyBorder="1" applyAlignment="1">
      <alignment horizontal="center"/>
    </xf>
    <xf numFmtId="166" fontId="0" fillId="0" borderId="0" xfId="0" applyNumberFormat="1" applyFont="1" applyAlignment="1">
      <alignment horizontal="right"/>
    </xf>
    <xf numFmtId="169" fontId="0" fillId="0" borderId="0" xfId="42" applyNumberFormat="1" applyFont="1" applyFill="1" applyBorder="1" applyAlignment="1" applyProtection="1">
      <alignment horizontal="right" indent="1"/>
      <protection/>
    </xf>
    <xf numFmtId="0" fontId="5" fillId="33" borderId="13" xfId="0" applyFont="1" applyFill="1" applyBorder="1" applyAlignment="1">
      <alignment/>
    </xf>
    <xf numFmtId="165" fontId="0" fillId="33" borderId="13" xfId="0" applyNumberFormat="1" applyFill="1" applyBorder="1" applyAlignment="1">
      <alignment/>
    </xf>
    <xf numFmtId="167" fontId="0" fillId="0" borderId="0" xfId="44" applyFont="1" applyFill="1" applyBorder="1" applyAlignment="1" applyProtection="1">
      <alignment/>
      <protection/>
    </xf>
    <xf numFmtId="9" fontId="0" fillId="0" borderId="0" xfId="0" applyNumberFormat="1" applyBorder="1" applyAlignment="1">
      <alignment horizontal="right"/>
    </xf>
    <xf numFmtId="165" fontId="0" fillId="33" borderId="18" xfId="0" applyNumberFormat="1" applyFill="1" applyBorder="1" applyAlignment="1">
      <alignment/>
    </xf>
    <xf numFmtId="165" fontId="0" fillId="33" borderId="35" xfId="0" applyNumberFormat="1" applyFill="1" applyBorder="1" applyAlignment="1">
      <alignment/>
    </xf>
    <xf numFmtId="169" fontId="0" fillId="0" borderId="0" xfId="0" applyNumberFormat="1" applyFont="1" applyAlignment="1">
      <alignment horizontal="right"/>
    </xf>
    <xf numFmtId="9" fontId="0" fillId="0" borderId="0" xfId="0" applyNumberFormat="1" applyBorder="1" applyAlignment="1">
      <alignment horizontal="left"/>
    </xf>
    <xf numFmtId="0" fontId="5" fillId="33" borderId="20" xfId="0" applyFont="1" applyFill="1" applyBorder="1" applyAlignment="1">
      <alignment/>
    </xf>
    <xf numFmtId="165" fontId="0" fillId="33" borderId="20" xfId="0" applyNumberFormat="1" applyFill="1" applyBorder="1" applyAlignment="1">
      <alignment/>
    </xf>
    <xf numFmtId="169" fontId="0" fillId="0" borderId="16" xfId="0" applyNumberFormat="1" applyFont="1" applyBorder="1" applyAlignment="1">
      <alignment horizontal="right"/>
    </xf>
    <xf numFmtId="9" fontId="0" fillId="0" borderId="16" xfId="0" applyNumberFormat="1" applyFont="1" applyBorder="1" applyAlignment="1">
      <alignment horizontal="left"/>
    </xf>
    <xf numFmtId="165" fontId="0" fillId="33" borderId="36" xfId="0" applyNumberFormat="1" applyFill="1" applyBorder="1" applyAlignment="1">
      <alignment/>
    </xf>
    <xf numFmtId="165" fontId="0" fillId="33" borderId="37" xfId="0" applyNumberFormat="1" applyFill="1" applyBorder="1" applyAlignment="1">
      <alignment/>
    </xf>
    <xf numFmtId="168" fontId="0" fillId="0" borderId="0" xfId="44" applyNumberFormat="1" applyFont="1" applyFill="1" applyBorder="1" applyAlignment="1" applyProtection="1">
      <alignment horizontal="left" indent="2"/>
      <protection/>
    </xf>
    <xf numFmtId="165" fontId="0" fillId="33" borderId="35" xfId="0" applyNumberFormat="1" applyFont="1" applyFill="1" applyBorder="1" applyAlignment="1">
      <alignment/>
    </xf>
    <xf numFmtId="0" fontId="0" fillId="0" borderId="0" xfId="0" applyFont="1" applyAlignment="1">
      <alignment horizontal="right"/>
    </xf>
    <xf numFmtId="177" fontId="0" fillId="33" borderId="37" xfId="0" applyNumberFormat="1" applyFill="1" applyBorder="1" applyAlignment="1">
      <alignment/>
    </xf>
    <xf numFmtId="0" fontId="0" fillId="0" borderId="24" xfId="0" applyFont="1" applyBorder="1" applyAlignment="1">
      <alignment/>
    </xf>
    <xf numFmtId="0" fontId="0" fillId="0" borderId="25" xfId="0" applyBorder="1" applyAlignment="1">
      <alignment/>
    </xf>
    <xf numFmtId="9" fontId="0" fillId="0" borderId="25" xfId="0" applyNumberFormat="1" applyFont="1" applyBorder="1" applyAlignment="1">
      <alignment horizontal="right"/>
    </xf>
    <xf numFmtId="177" fontId="0" fillId="0" borderId="25" xfId="0" applyNumberFormat="1" applyFont="1" applyBorder="1" applyAlignment="1">
      <alignment horizontal="right"/>
    </xf>
    <xf numFmtId="169" fontId="0" fillId="0" borderId="26" xfId="42" applyNumberFormat="1" applyFont="1" applyFill="1" applyBorder="1" applyAlignment="1" applyProtection="1">
      <alignment horizontal="right" indent="1"/>
      <protection/>
    </xf>
    <xf numFmtId="0" fontId="5" fillId="33" borderId="12" xfId="0" applyFont="1" applyFill="1" applyBorder="1" applyAlignment="1">
      <alignment/>
    </xf>
    <xf numFmtId="185" fontId="5" fillId="33" borderId="12" xfId="0" applyNumberFormat="1" applyFont="1" applyFill="1" applyBorder="1" applyAlignment="1">
      <alignment/>
    </xf>
    <xf numFmtId="185" fontId="0" fillId="33" borderId="12" xfId="0" applyNumberFormat="1" applyFill="1" applyBorder="1" applyAlignment="1">
      <alignment/>
    </xf>
    <xf numFmtId="0" fontId="0" fillId="0" borderId="0" xfId="0" applyNumberFormat="1" applyAlignment="1">
      <alignment/>
    </xf>
    <xf numFmtId="0" fontId="0" fillId="0" borderId="38" xfId="0" applyFont="1" applyBorder="1" applyAlignment="1">
      <alignment horizontal="right"/>
    </xf>
    <xf numFmtId="0" fontId="0" fillId="0" borderId="22" xfId="0" applyBorder="1" applyAlignment="1">
      <alignment horizontal="right"/>
    </xf>
    <xf numFmtId="177" fontId="0" fillId="0" borderId="22" xfId="0" applyNumberFormat="1" applyFont="1" applyBorder="1" applyAlignment="1">
      <alignment horizontal="right"/>
    </xf>
    <xf numFmtId="169" fontId="0" fillId="0" borderId="39" xfId="42" applyNumberFormat="1" applyFont="1" applyFill="1" applyBorder="1" applyAlignment="1" applyProtection="1">
      <alignment horizontal="right" indent="1"/>
      <protection/>
    </xf>
    <xf numFmtId="165" fontId="0" fillId="0" borderId="0" xfId="0" applyNumberFormat="1" applyBorder="1" applyAlignment="1">
      <alignment/>
    </xf>
    <xf numFmtId="166" fontId="0" fillId="33" borderId="12" xfId="0" applyNumberFormat="1" applyFill="1" applyBorder="1" applyAlignment="1">
      <alignment/>
    </xf>
    <xf numFmtId="166" fontId="0" fillId="33" borderId="33" xfId="0" applyNumberFormat="1" applyFill="1" applyBorder="1" applyAlignment="1">
      <alignment/>
    </xf>
    <xf numFmtId="166" fontId="5" fillId="33" borderId="12" xfId="0" applyNumberFormat="1" applyFont="1" applyFill="1" applyBorder="1" applyAlignment="1">
      <alignment/>
    </xf>
    <xf numFmtId="180" fontId="0" fillId="0" borderId="19" xfId="42" applyNumberFormat="1" applyFont="1" applyFill="1" applyBorder="1" applyAlignment="1" applyProtection="1">
      <alignment horizontal="right" indent="1"/>
      <protection/>
    </xf>
    <xf numFmtId="0" fontId="5" fillId="33" borderId="35" xfId="0" applyFont="1" applyFill="1" applyBorder="1" applyAlignment="1">
      <alignment/>
    </xf>
    <xf numFmtId="0" fontId="0" fillId="33" borderId="18" xfId="0" applyFill="1" applyBorder="1" applyAlignment="1">
      <alignment/>
    </xf>
    <xf numFmtId="0" fontId="0" fillId="33" borderId="0" xfId="0" applyFill="1" applyBorder="1" applyAlignment="1">
      <alignment/>
    </xf>
    <xf numFmtId="0" fontId="5" fillId="33" borderId="37" xfId="0" applyFont="1" applyFill="1" applyBorder="1" applyAlignment="1">
      <alignment/>
    </xf>
    <xf numFmtId="0" fontId="0" fillId="33" borderId="20" xfId="0" applyFill="1" applyBorder="1" applyAlignment="1">
      <alignment/>
    </xf>
    <xf numFmtId="0" fontId="0" fillId="33" borderId="16" xfId="0" applyFill="1" applyBorder="1" applyAlignment="1">
      <alignment/>
    </xf>
    <xf numFmtId="168" fontId="5" fillId="0" borderId="23" xfId="44" applyNumberFormat="1" applyFont="1" applyFill="1" applyBorder="1" applyAlignment="1" applyProtection="1">
      <alignment horizontal="right"/>
      <protection/>
    </xf>
    <xf numFmtId="177" fontId="5" fillId="0" borderId="0" xfId="0" applyNumberFormat="1" applyFont="1" applyBorder="1" applyAlignment="1">
      <alignment/>
    </xf>
    <xf numFmtId="0" fontId="5" fillId="0" borderId="13" xfId="0" applyFont="1" applyBorder="1" applyAlignment="1">
      <alignment horizontal="left"/>
    </xf>
    <xf numFmtId="177" fontId="5" fillId="0" borderId="14" xfId="0" applyNumberFormat="1" applyFont="1" applyBorder="1" applyAlignment="1">
      <alignment/>
    </xf>
    <xf numFmtId="0" fontId="0" fillId="0" borderId="15" xfId="0" applyBorder="1" applyAlignment="1">
      <alignment/>
    </xf>
    <xf numFmtId="175" fontId="0" fillId="0" borderId="20" xfId="0" applyNumberFormat="1" applyBorder="1" applyAlignment="1">
      <alignment/>
    </xf>
    <xf numFmtId="165" fontId="0" fillId="0" borderId="16" xfId="0" applyNumberFormat="1" applyBorder="1" applyAlignment="1">
      <alignment/>
    </xf>
    <xf numFmtId="165" fontId="0" fillId="0" borderId="17" xfId="0" applyNumberFormat="1" applyBorder="1" applyAlignment="1">
      <alignment/>
    </xf>
    <xf numFmtId="0" fontId="5" fillId="0" borderId="0" xfId="0" applyFont="1" applyFill="1" applyBorder="1" applyAlignment="1">
      <alignment/>
    </xf>
    <xf numFmtId="0" fontId="0" fillId="0" borderId="0" xfId="0" applyFont="1" applyFill="1" applyBorder="1" applyAlignment="1">
      <alignment/>
    </xf>
    <xf numFmtId="168" fontId="0" fillId="0" borderId="0" xfId="44" applyNumberFormat="1" applyFont="1" applyFill="1" applyBorder="1" applyAlignment="1" applyProtection="1">
      <alignment/>
      <protection/>
    </xf>
    <xf numFmtId="177" fontId="5" fillId="0" borderId="0" xfId="0" applyNumberFormat="1" applyFont="1" applyFill="1" applyBorder="1" applyAlignment="1">
      <alignment/>
    </xf>
    <xf numFmtId="177" fontId="0" fillId="33" borderId="0" xfId="0" applyNumberFormat="1" applyFill="1" applyBorder="1" applyAlignment="1">
      <alignment/>
    </xf>
    <xf numFmtId="0" fontId="0" fillId="0" borderId="0" xfId="0" applyFill="1" applyBorder="1" applyAlignment="1">
      <alignment wrapText="1"/>
    </xf>
    <xf numFmtId="168" fontId="0" fillId="0" borderId="0" xfId="44" applyNumberFormat="1" applyAlignment="1">
      <alignment/>
    </xf>
    <xf numFmtId="168" fontId="0" fillId="0" borderId="0" xfId="44" applyNumberFormat="1" applyFill="1" applyBorder="1" applyAlignment="1">
      <alignment/>
    </xf>
    <xf numFmtId="168" fontId="0" fillId="0" borderId="28" xfId="44" applyNumberFormat="1" applyFill="1" applyBorder="1" applyAlignment="1">
      <alignment horizontal="center"/>
    </xf>
    <xf numFmtId="168" fontId="0" fillId="0" borderId="0" xfId="44" applyNumberFormat="1" applyFill="1" applyBorder="1" applyAlignment="1" applyProtection="1">
      <alignment horizontal="right"/>
      <protection/>
    </xf>
    <xf numFmtId="168" fontId="0" fillId="33" borderId="34" xfId="44" applyNumberFormat="1" applyFill="1" applyBorder="1" applyAlignment="1">
      <alignment horizontal="center"/>
    </xf>
    <xf numFmtId="168" fontId="0" fillId="33" borderId="13" xfId="44" applyNumberFormat="1" applyFill="1" applyBorder="1" applyAlignment="1">
      <alignment/>
    </xf>
    <xf numFmtId="168" fontId="0" fillId="33" borderId="18" xfId="44" applyNumberFormat="1" applyFill="1" applyBorder="1" applyAlignment="1">
      <alignment/>
    </xf>
    <xf numFmtId="168" fontId="0" fillId="33" borderId="20" xfId="44" applyNumberFormat="1" applyFill="1" applyBorder="1" applyAlignment="1">
      <alignment/>
    </xf>
    <xf numFmtId="168" fontId="0" fillId="33" borderId="35" xfId="44" applyNumberFormat="1" applyFill="1" applyBorder="1" applyAlignment="1">
      <alignment/>
    </xf>
    <xf numFmtId="168" fontId="0" fillId="33" borderId="37" xfId="44" applyNumberFormat="1" applyFill="1" applyBorder="1" applyAlignment="1">
      <alignment/>
    </xf>
    <xf numFmtId="168" fontId="0" fillId="33" borderId="12" xfId="44" applyNumberFormat="1" applyFill="1" applyBorder="1" applyAlignment="1">
      <alignment/>
    </xf>
    <xf numFmtId="168" fontId="0" fillId="0" borderId="0" xfId="44" applyNumberFormat="1" applyBorder="1" applyAlignment="1">
      <alignment/>
    </xf>
    <xf numFmtId="168" fontId="0" fillId="33" borderId="0" xfId="44" applyNumberFormat="1" applyFill="1" applyBorder="1" applyAlignment="1">
      <alignment/>
    </xf>
    <xf numFmtId="168" fontId="0" fillId="33" borderId="16" xfId="44" applyNumberFormat="1" applyFill="1" applyBorder="1" applyAlignment="1">
      <alignment/>
    </xf>
    <xf numFmtId="168" fontId="0" fillId="0" borderId="14" xfId="44" applyNumberFormat="1" applyBorder="1" applyAlignment="1">
      <alignment/>
    </xf>
    <xf numFmtId="168" fontId="0" fillId="0" borderId="16" xfId="44" applyNumberFormat="1" applyBorder="1" applyAlignment="1">
      <alignment/>
    </xf>
    <xf numFmtId="4" fontId="5" fillId="33" borderId="0" xfId="44" applyNumberFormat="1" applyFont="1" applyFill="1" applyBorder="1" applyAlignment="1" applyProtection="1">
      <alignment wrapText="1"/>
      <protection/>
    </xf>
    <xf numFmtId="0" fontId="9" fillId="0" borderId="0" xfId="0" applyFont="1" applyFill="1" applyBorder="1" applyAlignment="1">
      <alignment horizontal="center"/>
    </xf>
    <xf numFmtId="0" fontId="9" fillId="33" borderId="0" xfId="0" applyFont="1" applyFill="1" applyBorder="1" applyAlignment="1">
      <alignment horizontal="center"/>
    </xf>
    <xf numFmtId="165" fontId="0" fillId="33" borderId="0" xfId="0" applyNumberFormat="1" applyFill="1" applyBorder="1" applyAlignment="1">
      <alignment/>
    </xf>
    <xf numFmtId="185" fontId="0" fillId="33" borderId="0" xfId="0" applyNumberFormat="1" applyFill="1" applyBorder="1" applyAlignment="1">
      <alignment/>
    </xf>
    <xf numFmtId="166" fontId="5" fillId="33" borderId="0" xfId="0" applyNumberFormat="1" applyFont="1" applyFill="1" applyBorder="1" applyAlignment="1">
      <alignment/>
    </xf>
    <xf numFmtId="168" fontId="0" fillId="36" borderId="40" xfId="44" applyNumberFormat="1" applyFill="1" applyBorder="1" applyAlignment="1">
      <alignment/>
    </xf>
    <xf numFmtId="166" fontId="0" fillId="36" borderId="0" xfId="0" applyNumberFormat="1" applyFill="1" applyBorder="1" applyAlignment="1">
      <alignment/>
    </xf>
    <xf numFmtId="177" fontId="0" fillId="36" borderId="0" xfId="60" applyNumberFormat="1" applyFill="1" applyBorder="1" applyAlignment="1">
      <alignment/>
    </xf>
    <xf numFmtId="177" fontId="0" fillId="36" borderId="41" xfId="60" applyNumberFormat="1" applyFill="1" applyBorder="1" applyAlignment="1">
      <alignment/>
    </xf>
    <xf numFmtId="168" fontId="0" fillId="36" borderId="40" xfId="44" applyNumberFormat="1" applyFill="1" applyBorder="1" applyAlignment="1">
      <alignment/>
    </xf>
    <xf numFmtId="177" fontId="0" fillId="36" borderId="40" xfId="60" applyNumberFormat="1" applyFill="1" applyBorder="1" applyAlignment="1">
      <alignment/>
    </xf>
    <xf numFmtId="168" fontId="0" fillId="36" borderId="42" xfId="44" applyNumberFormat="1" applyFill="1" applyBorder="1" applyAlignment="1">
      <alignment/>
    </xf>
    <xf numFmtId="168" fontId="0" fillId="36" borderId="42" xfId="44" applyNumberFormat="1" applyFill="1" applyBorder="1" applyAlignment="1">
      <alignment/>
    </xf>
    <xf numFmtId="177" fontId="0" fillId="36" borderId="42" xfId="60" applyNumberFormat="1" applyFill="1" applyBorder="1" applyAlignment="1">
      <alignment/>
    </xf>
    <xf numFmtId="177" fontId="0" fillId="36" borderId="0" xfId="60" applyNumberFormat="1" applyFill="1" applyBorder="1" applyAlignment="1">
      <alignment horizontal="center"/>
    </xf>
    <xf numFmtId="0" fontId="0" fillId="36" borderId="41" xfId="0" applyFill="1" applyBorder="1" applyAlignment="1">
      <alignment/>
    </xf>
    <xf numFmtId="165" fontId="0" fillId="36" borderId="0" xfId="57" applyNumberFormat="1" applyFont="1" applyFill="1" applyBorder="1" applyProtection="1">
      <alignment/>
      <protection/>
    </xf>
    <xf numFmtId="177" fontId="0" fillId="36" borderId="0" xfId="60" applyNumberFormat="1" applyFill="1" applyBorder="1" applyAlignment="1" applyProtection="1">
      <alignment horizontal="center"/>
      <protection/>
    </xf>
    <xf numFmtId="177" fontId="0" fillId="36" borderId="0" xfId="60" applyNumberFormat="1" applyFill="1" applyBorder="1" applyAlignment="1" applyProtection="1">
      <alignment horizontal="left"/>
      <protection/>
    </xf>
    <xf numFmtId="168" fontId="0" fillId="36" borderId="0" xfId="44" applyNumberFormat="1" applyFill="1" applyBorder="1" applyAlignment="1">
      <alignment/>
    </xf>
    <xf numFmtId="167" fontId="0" fillId="36" borderId="40" xfId="44" applyFill="1" applyBorder="1" applyAlignment="1">
      <alignment/>
    </xf>
    <xf numFmtId="0" fontId="0" fillId="36" borderId="0" xfId="0" applyFill="1" applyBorder="1" applyAlignment="1">
      <alignment/>
    </xf>
    <xf numFmtId="0" fontId="0" fillId="36" borderId="40" xfId="0" applyFill="1" applyBorder="1" applyAlignment="1">
      <alignment/>
    </xf>
    <xf numFmtId="165" fontId="0" fillId="36" borderId="40" xfId="0" applyNumberFormat="1" applyFill="1" applyBorder="1" applyAlignment="1">
      <alignment/>
    </xf>
    <xf numFmtId="167" fontId="0" fillId="36" borderId="40" xfId="44" applyFill="1" applyBorder="1" applyAlignment="1">
      <alignment/>
    </xf>
    <xf numFmtId="177" fontId="0" fillId="36" borderId="40" xfId="0" applyNumberFormat="1" applyFill="1" applyBorder="1" applyAlignment="1">
      <alignment/>
    </xf>
    <xf numFmtId="185" fontId="0" fillId="36" borderId="40" xfId="0" applyNumberFormat="1" applyFill="1" applyBorder="1" applyAlignment="1">
      <alignment/>
    </xf>
    <xf numFmtId="166" fontId="5" fillId="36" borderId="43" xfId="0" applyNumberFormat="1" applyFont="1" applyFill="1" applyBorder="1" applyAlignment="1">
      <alignment/>
    </xf>
    <xf numFmtId="0" fontId="5" fillId="36" borderId="44" xfId="0" applyFont="1" applyFill="1" applyBorder="1" applyAlignment="1">
      <alignment/>
    </xf>
    <xf numFmtId="177" fontId="5" fillId="36" borderId="44" xfId="0" applyNumberFormat="1" applyFont="1" applyFill="1" applyBorder="1" applyAlignment="1">
      <alignment/>
    </xf>
    <xf numFmtId="177" fontId="5" fillId="36" borderId="45" xfId="0" applyNumberFormat="1" applyFont="1" applyFill="1" applyBorder="1" applyAlignment="1">
      <alignment/>
    </xf>
    <xf numFmtId="168" fontId="0" fillId="36" borderId="0" xfId="44" applyNumberFormat="1" applyFill="1" applyAlignment="1">
      <alignment/>
    </xf>
    <xf numFmtId="0" fontId="48" fillId="0" borderId="0" xfId="0" applyFont="1" applyAlignment="1">
      <alignment/>
    </xf>
    <xf numFmtId="0" fontId="0" fillId="0" borderId="18" xfId="0" applyBorder="1" applyAlignment="1">
      <alignment/>
    </xf>
    <xf numFmtId="0" fontId="0" fillId="0" borderId="18" xfId="0" applyFill="1" applyBorder="1" applyAlignment="1">
      <alignment/>
    </xf>
    <xf numFmtId="0" fontId="0" fillId="0" borderId="18" xfId="0" applyFill="1" applyBorder="1" applyAlignment="1">
      <alignment horizontal="left"/>
    </xf>
    <xf numFmtId="0" fontId="0" fillId="0" borderId="13" xfId="0" applyFill="1" applyBorder="1" applyAlignment="1">
      <alignment/>
    </xf>
    <xf numFmtId="0" fontId="0" fillId="0" borderId="16" xfId="0" applyBorder="1" applyAlignment="1">
      <alignment horizontal="center"/>
    </xf>
    <xf numFmtId="0" fontId="0" fillId="0" borderId="16" xfId="0" applyBorder="1" applyAlignment="1">
      <alignment horizontal="left"/>
    </xf>
    <xf numFmtId="168" fontId="0" fillId="36" borderId="46" xfId="44" applyNumberFormat="1" applyFill="1" applyBorder="1" applyAlignment="1">
      <alignment/>
    </xf>
    <xf numFmtId="168" fontId="0" fillId="36" borderId="0" xfId="44" applyNumberFormat="1" applyFill="1" applyBorder="1" applyAlignment="1">
      <alignment/>
    </xf>
    <xf numFmtId="0" fontId="0" fillId="36" borderId="40" xfId="0" applyFill="1" applyBorder="1" applyAlignment="1">
      <alignment/>
    </xf>
    <xf numFmtId="0" fontId="0" fillId="0" borderId="41" xfId="0" applyBorder="1" applyAlignment="1">
      <alignment/>
    </xf>
    <xf numFmtId="172" fontId="5" fillId="36" borderId="47" xfId="0" applyNumberFormat="1" applyFont="1" applyFill="1" applyBorder="1" applyAlignment="1">
      <alignment/>
    </xf>
    <xf numFmtId="0" fontId="0" fillId="0" borderId="42" xfId="0" applyBorder="1" applyAlignment="1">
      <alignment/>
    </xf>
    <xf numFmtId="177" fontId="0" fillId="0" borderId="41" xfId="0" applyNumberFormat="1" applyBorder="1" applyAlignment="1">
      <alignment/>
    </xf>
    <xf numFmtId="0" fontId="5" fillId="36" borderId="47" xfId="0" applyFont="1" applyFill="1" applyBorder="1" applyAlignment="1">
      <alignment horizontal="center"/>
    </xf>
    <xf numFmtId="0" fontId="5" fillId="36" borderId="44" xfId="0" applyFont="1" applyFill="1" applyBorder="1" applyAlignment="1">
      <alignment horizontal="center"/>
    </xf>
    <xf numFmtId="0" fontId="5" fillId="36" borderId="45" xfId="0" applyFont="1" applyFill="1" applyBorder="1" applyAlignment="1">
      <alignment horizontal="center"/>
    </xf>
    <xf numFmtId="173" fontId="5" fillId="36" borderId="47" xfId="0" applyNumberFormat="1" applyFont="1" applyFill="1" applyBorder="1" applyAlignment="1">
      <alignment horizontal="center"/>
    </xf>
    <xf numFmtId="173" fontId="5" fillId="36" borderId="44" xfId="0" applyNumberFormat="1" applyFont="1" applyFill="1" applyBorder="1" applyAlignment="1">
      <alignment horizontal="center"/>
    </xf>
    <xf numFmtId="173" fontId="5" fillId="36" borderId="45" xfId="0" applyNumberFormat="1" applyFont="1" applyFill="1" applyBorder="1" applyAlignment="1">
      <alignment horizontal="center"/>
    </xf>
    <xf numFmtId="0" fontId="5" fillId="33" borderId="12" xfId="0" applyFont="1" applyFill="1" applyBorder="1" applyAlignment="1">
      <alignment horizontal="center"/>
    </xf>
    <xf numFmtId="0" fontId="2" fillId="0" borderId="48" xfId="0" applyFont="1" applyFill="1" applyBorder="1" applyAlignment="1">
      <alignment horizontal="center" wrapText="1"/>
    </xf>
    <xf numFmtId="164" fontId="4" fillId="0" borderId="49" xfId="0" applyNumberFormat="1" applyFont="1" applyFill="1" applyBorder="1" applyAlignment="1">
      <alignment horizontal="center" wrapText="1"/>
    </xf>
    <xf numFmtId="0" fontId="5" fillId="0" borderId="0" xfId="0" applyFont="1" applyFill="1" applyBorder="1" applyAlignment="1">
      <alignment horizontal="center"/>
    </xf>
    <xf numFmtId="168" fontId="5" fillId="36" borderId="47" xfId="44" applyNumberFormat="1" applyFont="1" applyFill="1" applyBorder="1" applyAlignment="1">
      <alignment horizontal="center"/>
    </xf>
    <xf numFmtId="168" fontId="5" fillId="36" borderId="44" xfId="44" applyNumberFormat="1" applyFont="1" applyFill="1" applyBorder="1" applyAlignment="1">
      <alignment horizontal="center"/>
    </xf>
    <xf numFmtId="168" fontId="5" fillId="36" borderId="45" xfId="44" applyNumberFormat="1"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60th &amp; Glisan - Center Statio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9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CF305"/>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89"/>
  <sheetViews>
    <sheetView tabSelected="1" zoomScale="85" zoomScaleNormal="85" zoomScalePageLayoutView="0" workbookViewId="0" topLeftCell="A1">
      <selection activeCell="M31" sqref="M31"/>
    </sheetView>
  </sheetViews>
  <sheetFormatPr defaultColWidth="9.140625" defaultRowHeight="12.75"/>
  <cols>
    <col min="1" max="1" width="33.00390625" style="0" customWidth="1"/>
    <col min="2" max="2" width="6.00390625" style="0" customWidth="1"/>
    <col min="3" max="3" width="12.421875" style="0" customWidth="1"/>
    <col min="4" max="4" width="10.421875" style="0" customWidth="1"/>
    <col min="5" max="5" width="13.28125" style="0" customWidth="1"/>
    <col min="6" max="6" width="11.421875" style="0" customWidth="1"/>
    <col min="7" max="7" width="29.421875" style="0" customWidth="1"/>
    <col min="8" max="8" width="12.421875" style="0" customWidth="1"/>
    <col min="9" max="12" width="11.7109375" style="0" customWidth="1"/>
    <col min="13" max="13" width="11.7109375" style="234" customWidth="1"/>
    <col min="14" max="18" width="11.7109375" style="0" customWidth="1"/>
    <col min="19" max="19" width="14.57421875" style="0" customWidth="1"/>
    <col min="20" max="20" width="12.00390625" style="0" customWidth="1"/>
    <col min="21" max="21" width="11.28125" style="0" bestFit="1" customWidth="1"/>
    <col min="22" max="22" width="12.421875" style="0" bestFit="1" customWidth="1"/>
    <col min="23" max="23" width="15.28125" style="0" customWidth="1"/>
    <col min="24" max="24" width="14.28125" style="0" customWidth="1"/>
    <col min="25" max="25" width="15.00390625" style="0" customWidth="1"/>
    <col min="26" max="26" width="19.7109375" style="0" customWidth="1"/>
  </cols>
  <sheetData>
    <row r="1" spans="1:9" ht="23.25" customHeight="1">
      <c r="A1" s="304" t="s">
        <v>155</v>
      </c>
      <c r="B1" s="304"/>
      <c r="C1" s="304"/>
      <c r="D1" s="304"/>
      <c r="E1" s="304"/>
      <c r="F1" s="304"/>
      <c r="G1" s="304"/>
      <c r="H1" s="304"/>
      <c r="I1" s="304"/>
    </row>
    <row r="2" spans="1:9" ht="12.75" customHeight="1">
      <c r="A2" s="1"/>
      <c r="B2" s="2"/>
      <c r="C2" s="2"/>
      <c r="D2" s="2"/>
      <c r="E2" s="2"/>
      <c r="F2" s="2"/>
      <c r="G2" s="2"/>
      <c r="H2" s="2"/>
      <c r="I2" s="3"/>
    </row>
    <row r="3" spans="1:9" ht="12.75" customHeight="1" thickBot="1">
      <c r="A3" s="305">
        <v>42126</v>
      </c>
      <c r="B3" s="305"/>
      <c r="C3" s="305"/>
      <c r="D3" s="305"/>
      <c r="E3" s="305"/>
      <c r="F3" s="305"/>
      <c r="G3" s="305"/>
      <c r="H3" s="305"/>
      <c r="I3" s="305"/>
    </row>
    <row r="4" ht="4.5" customHeight="1"/>
    <row r="5" spans="1:20" ht="12.75">
      <c r="A5" s="303" t="s">
        <v>0</v>
      </c>
      <c r="B5" s="303"/>
      <c r="C5" s="303"/>
      <c r="D5" s="303"/>
      <c r="E5" s="303"/>
      <c r="G5" s="303" t="s">
        <v>1</v>
      </c>
      <c r="H5" s="303"/>
      <c r="I5" s="303"/>
      <c r="L5" s="306"/>
      <c r="M5" s="306"/>
      <c r="N5" s="306"/>
      <c r="O5" s="5"/>
      <c r="P5" s="5"/>
      <c r="Q5" s="5"/>
      <c r="R5" s="5"/>
      <c r="S5" s="5"/>
      <c r="T5" s="5"/>
    </row>
    <row r="6" spans="1:20" ht="15.75">
      <c r="A6" s="6" t="s">
        <v>2</v>
      </c>
      <c r="B6" s="7"/>
      <c r="C6" s="8"/>
      <c r="D6" s="8"/>
      <c r="E6" s="9">
        <v>12600</v>
      </c>
      <c r="G6" s="6" t="s">
        <v>3</v>
      </c>
      <c r="H6" s="7"/>
      <c r="I6" s="10">
        <v>0.0425</v>
      </c>
      <c r="L6" s="11"/>
      <c r="M6" s="235"/>
      <c r="N6" s="12"/>
      <c r="O6" s="5"/>
      <c r="P6" s="13"/>
      <c r="Q6" s="5"/>
      <c r="R6" s="5"/>
      <c r="S6" s="5"/>
      <c r="T6" s="5"/>
    </row>
    <row r="7" spans="1:20" ht="12.75">
      <c r="A7" s="14"/>
      <c r="B7" s="14"/>
      <c r="C7" s="288" t="s">
        <v>137</v>
      </c>
      <c r="D7" s="289" t="s">
        <v>138</v>
      </c>
      <c r="E7" s="15"/>
      <c r="G7" s="16" t="s">
        <v>4</v>
      </c>
      <c r="H7" s="17"/>
      <c r="I7" s="18">
        <v>120</v>
      </c>
      <c r="K7" s="29">
        <v>2315</v>
      </c>
      <c r="L7" s="11"/>
      <c r="M7" s="235"/>
      <c r="N7" s="12"/>
      <c r="O7" s="5"/>
      <c r="P7" s="233"/>
      <c r="Q7" s="233"/>
      <c r="R7" s="233"/>
      <c r="S7" s="233"/>
      <c r="T7" s="233"/>
    </row>
    <row r="8" spans="1:20" ht="13.5" customHeight="1">
      <c r="A8" s="287" t="s">
        <v>136</v>
      </c>
      <c r="B8" s="19"/>
      <c r="C8" s="20">
        <f>E8*B27/12</f>
        <v>2200.3333333333335</v>
      </c>
      <c r="D8" s="20">
        <v>3884</v>
      </c>
      <c r="E8" s="9">
        <f>1208-60</f>
        <v>1148</v>
      </c>
      <c r="F8" s="21">
        <f>E8/C18</f>
        <v>0.2557932263814617</v>
      </c>
      <c r="G8" s="22" t="s">
        <v>5</v>
      </c>
      <c r="H8" s="23"/>
      <c r="I8" s="24">
        <f>H30</f>
        <v>1800000</v>
      </c>
      <c r="J8" s="25"/>
      <c r="K8" s="29">
        <f>C8</f>
        <v>2200.3333333333335</v>
      </c>
      <c r="L8" s="11"/>
      <c r="M8" s="235"/>
      <c r="N8" s="26"/>
      <c r="O8" s="5"/>
      <c r="P8" s="233"/>
      <c r="Q8" s="233"/>
      <c r="R8" s="233"/>
      <c r="S8" s="233"/>
      <c r="T8" s="233"/>
    </row>
    <row r="9" spans="1:26" ht="12.75">
      <c r="A9" s="16"/>
      <c r="C9" s="25"/>
      <c r="D9" s="25"/>
      <c r="E9" s="27"/>
      <c r="G9" s="22" t="s">
        <v>6</v>
      </c>
      <c r="H9" s="17"/>
      <c r="I9" s="28">
        <f>I25</f>
        <v>2744036.9230769225</v>
      </c>
      <c r="J9" s="29"/>
      <c r="L9" s="11"/>
      <c r="M9" s="235"/>
      <c r="N9" s="26"/>
      <c r="O9" s="5"/>
      <c r="P9" s="233"/>
      <c r="Q9" s="233"/>
      <c r="R9" s="233"/>
      <c r="S9" s="233"/>
      <c r="T9" s="233"/>
      <c r="W9" t="s">
        <v>141</v>
      </c>
      <c r="X9" t="s">
        <v>124</v>
      </c>
      <c r="Y9" t="s">
        <v>141</v>
      </c>
      <c r="Z9" t="s">
        <v>141</v>
      </c>
    </row>
    <row r="10" spans="1:26" ht="15.75" customHeight="1" thickBot="1">
      <c r="A10" s="284" t="s">
        <v>130</v>
      </c>
      <c r="C10" s="25">
        <f>E10*B26/12</f>
        <v>1458.3333333333333</v>
      </c>
      <c r="D10" s="25">
        <v>2322</v>
      </c>
      <c r="E10" s="27">
        <v>625</v>
      </c>
      <c r="F10" s="21">
        <f>E10/C18</f>
        <v>0.1392602495543672</v>
      </c>
      <c r="G10" s="22"/>
      <c r="H10" s="17"/>
      <c r="I10" s="28"/>
      <c r="J10" s="29"/>
      <c r="K10" s="29">
        <f>K7-K8</f>
        <v>114.66666666666652</v>
      </c>
      <c r="L10" s="11"/>
      <c r="M10" s="235"/>
      <c r="N10" s="26"/>
      <c r="O10" s="5"/>
      <c r="P10" s="233"/>
      <c r="Q10" s="233"/>
      <c r="R10" s="233"/>
      <c r="S10" s="233" t="s">
        <v>120</v>
      </c>
      <c r="T10" s="233" t="s">
        <v>121</v>
      </c>
      <c r="U10" t="s">
        <v>122</v>
      </c>
      <c r="V10" t="s">
        <v>123</v>
      </c>
      <c r="W10" t="s">
        <v>143</v>
      </c>
      <c r="X10" t="s">
        <v>142</v>
      </c>
      <c r="Y10" t="s">
        <v>144</v>
      </c>
      <c r="Z10" t="s">
        <v>145</v>
      </c>
    </row>
    <row r="11" spans="1:26" ht="13.5" thickBot="1">
      <c r="A11" s="285" t="s">
        <v>131</v>
      </c>
      <c r="B11" s="5"/>
      <c r="C11" s="25">
        <f>E11*B26/12</f>
        <v>1481.6666666666667</v>
      </c>
      <c r="D11" s="33">
        <v>2395</v>
      </c>
      <c r="E11" s="34">
        <v>635</v>
      </c>
      <c r="F11" s="21">
        <f>E11/C18</f>
        <v>0.14148841354723707</v>
      </c>
      <c r="G11" s="22" t="s">
        <v>7</v>
      </c>
      <c r="H11" s="17"/>
      <c r="I11" s="32">
        <f>I8/I9</f>
        <v>0.6559678497261756</v>
      </c>
      <c r="J11" s="35"/>
      <c r="N11" s="35"/>
      <c r="O11" s="35"/>
      <c r="P11" s="5"/>
      <c r="Q11" s="233"/>
      <c r="R11" s="233"/>
      <c r="S11" s="300" t="s">
        <v>148</v>
      </c>
      <c r="T11" s="301"/>
      <c r="U11" s="301"/>
      <c r="V11" s="301"/>
      <c r="W11" s="301"/>
      <c r="X11" s="301"/>
      <c r="Y11" s="301"/>
      <c r="Z11" s="302"/>
    </row>
    <row r="12" spans="1:26" ht="12" customHeight="1">
      <c r="A12" s="284" t="s">
        <v>132</v>
      </c>
      <c r="B12" s="36"/>
      <c r="C12" s="25">
        <f>E12*B26/12</f>
        <v>1136.3333333333333</v>
      </c>
      <c r="D12" s="33">
        <v>1982</v>
      </c>
      <c r="E12" s="31">
        <v>487</v>
      </c>
      <c r="F12" s="21">
        <f>E12/C18</f>
        <v>0.10851158645276292</v>
      </c>
      <c r="G12" s="22" t="s">
        <v>8</v>
      </c>
      <c r="H12" s="17"/>
      <c r="I12" s="32" t="e">
        <f>I8/E54</f>
        <v>#REF!</v>
      </c>
      <c r="J12" s="29"/>
      <c r="S12" s="256">
        <f>2*D8</f>
        <v>7768</v>
      </c>
      <c r="T12" s="260"/>
      <c r="U12" s="257">
        <f>D8-K10</f>
        <v>3769.3333333333335</v>
      </c>
      <c r="V12" s="256">
        <f>U12*12</f>
        <v>45232</v>
      </c>
      <c r="W12" s="258">
        <f>E8/SUM(E8:E16)</f>
        <v>0.21071953010279001</v>
      </c>
      <c r="X12" s="261">
        <f>1/7</f>
        <v>0.14285714285714285</v>
      </c>
      <c r="Y12" s="259">
        <f>E8/SUM(E8:E13)</f>
        <v>0.33567251461988307</v>
      </c>
      <c r="Z12" s="296">
        <f>E8/SUM(E8:E15)</f>
        <v>0.2557932263814617</v>
      </c>
    </row>
    <row r="13" spans="1:26" ht="12.75">
      <c r="A13" s="284" t="s">
        <v>133</v>
      </c>
      <c r="B13" s="36"/>
      <c r="C13" s="25">
        <f>E13*B26/12</f>
        <v>1225</v>
      </c>
      <c r="D13" s="33">
        <v>2081</v>
      </c>
      <c r="E13" s="31">
        <v>525</v>
      </c>
      <c r="F13" s="21">
        <f>E13/C18</f>
        <v>0.11697860962566844</v>
      </c>
      <c r="G13" s="22" t="s">
        <v>9</v>
      </c>
      <c r="H13" s="17"/>
      <c r="I13" s="32">
        <f>(I8-I43)/I25</f>
        <v>0.6915927347916379</v>
      </c>
      <c r="J13" s="29"/>
      <c r="S13" s="256"/>
      <c r="T13" s="260">
        <f>U12*3%</f>
        <v>113.08</v>
      </c>
      <c r="U13" s="257">
        <f>T13+U12</f>
        <v>3882.4133333333334</v>
      </c>
      <c r="V13" s="256">
        <f>U13*12</f>
        <v>46588.96</v>
      </c>
      <c r="W13" s="258"/>
      <c r="X13" s="261"/>
      <c r="Y13" s="259"/>
      <c r="Z13" s="293"/>
    </row>
    <row r="14" spans="1:26" ht="12.75">
      <c r="A14" s="284" t="s">
        <v>134</v>
      </c>
      <c r="C14" s="25">
        <f>E14*B26/12</f>
        <v>1353.3333333333333</v>
      </c>
      <c r="D14" s="33">
        <v>1611</v>
      </c>
      <c r="E14" s="27">
        <v>580</v>
      </c>
      <c r="F14" s="21">
        <f>E14/C18</f>
        <v>0.12923351158645277</v>
      </c>
      <c r="G14" s="37" t="s">
        <v>10</v>
      </c>
      <c r="H14" s="17"/>
      <c r="I14" s="38">
        <v>1.1</v>
      </c>
      <c r="J14" s="29"/>
      <c r="S14" s="256"/>
      <c r="T14" s="260">
        <f>U13*3%</f>
        <v>116.4724</v>
      </c>
      <c r="U14" s="257">
        <f>T14+U13</f>
        <v>3998.8857333333335</v>
      </c>
      <c r="V14" s="256">
        <f>U14*12</f>
        <v>47986.628800000006</v>
      </c>
      <c r="W14" s="258"/>
      <c r="X14" s="261"/>
      <c r="Y14" s="259"/>
      <c r="Z14" s="293"/>
    </row>
    <row r="15" spans="1:26" ht="12.75">
      <c r="A15" s="284" t="s">
        <v>134</v>
      </c>
      <c r="C15" s="25">
        <f>E15*B26/12</f>
        <v>1138.6666666666667</v>
      </c>
      <c r="D15" s="33">
        <v>1372</v>
      </c>
      <c r="E15" s="27">
        <v>488</v>
      </c>
      <c r="F15" s="21">
        <f>E15/C18</f>
        <v>0.10873440285204991</v>
      </c>
      <c r="G15" s="16"/>
      <c r="H15" s="17"/>
      <c r="I15" s="27"/>
      <c r="J15" s="29"/>
      <c r="S15" s="256"/>
      <c r="T15" s="260">
        <f>U14*3%</f>
        <v>119.966572</v>
      </c>
      <c r="U15" s="257">
        <f>T15+U14</f>
        <v>4118.852305333334</v>
      </c>
      <c r="V15" s="256">
        <f>U15*12</f>
        <v>49426.227664000005</v>
      </c>
      <c r="W15" s="258"/>
      <c r="X15" s="261"/>
      <c r="Y15" s="259"/>
      <c r="Z15" s="293"/>
    </row>
    <row r="16" spans="1:26" ht="13.5" thickBot="1">
      <c r="A16" s="286" t="s">
        <v>135</v>
      </c>
      <c r="B16" s="5"/>
      <c r="C16" s="25">
        <f>E16*B28/12</f>
        <v>2560</v>
      </c>
      <c r="D16" s="33">
        <v>2315</v>
      </c>
      <c r="E16" s="31">
        <v>960</v>
      </c>
      <c r="F16" s="21">
        <v>0</v>
      </c>
      <c r="G16" s="39" t="s">
        <v>11</v>
      </c>
      <c r="H16" s="40"/>
      <c r="I16" s="41">
        <f>I14*I6*I8</f>
        <v>84150.00000000001</v>
      </c>
      <c r="J16" s="29"/>
      <c r="S16" s="256"/>
      <c r="T16" s="262">
        <f>U15*3%</f>
        <v>123.56556916000001</v>
      </c>
      <c r="U16" s="257">
        <f>U15+T16</f>
        <v>4242.417874493334</v>
      </c>
      <c r="V16" s="263">
        <f>U16*12</f>
        <v>50909.01449392001</v>
      </c>
      <c r="W16" s="258"/>
      <c r="X16" s="264"/>
      <c r="Y16" s="259"/>
      <c r="Z16" s="293"/>
    </row>
    <row r="17" spans="1:26" ht="13.5" thickBot="1">
      <c r="A17" s="286"/>
      <c r="B17" s="5"/>
      <c r="C17" s="25"/>
      <c r="D17" s="33">
        <f>SUM(D8:D16)</f>
        <v>17962</v>
      </c>
      <c r="E17" s="31"/>
      <c r="F17" s="21"/>
      <c r="G17" s="23"/>
      <c r="H17" s="23"/>
      <c r="I17" s="49"/>
      <c r="J17" s="29"/>
      <c r="S17" s="290"/>
      <c r="T17" s="291"/>
      <c r="U17" s="257"/>
      <c r="V17" s="270"/>
      <c r="W17" s="258"/>
      <c r="X17" s="258"/>
      <c r="Y17" s="259"/>
      <c r="Z17" s="293"/>
    </row>
    <row r="18" spans="1:26" ht="13.5" thickBot="1">
      <c r="A18" s="16"/>
      <c r="C18" s="42">
        <f>SUM(E8:E15)</f>
        <v>4488</v>
      </c>
      <c r="D18" s="33" t="s">
        <v>12</v>
      </c>
      <c r="E18" s="27"/>
      <c r="F18" s="42">
        <f>SUM(E8:E16)</f>
        <v>5448</v>
      </c>
      <c r="G18" s="43"/>
      <c r="H18" s="17"/>
      <c r="I18" s="44"/>
      <c r="J18" s="45"/>
      <c r="S18" s="300" t="s">
        <v>149</v>
      </c>
      <c r="T18" s="301"/>
      <c r="U18" s="301"/>
      <c r="V18" s="301"/>
      <c r="W18" s="301"/>
      <c r="X18" s="301"/>
      <c r="Y18" s="301"/>
      <c r="Z18" s="302"/>
    </row>
    <row r="19" spans="1:26" ht="12" customHeight="1">
      <c r="A19" s="16" t="s">
        <v>13</v>
      </c>
      <c r="C19" s="46">
        <v>1332</v>
      </c>
      <c r="D19" t="s">
        <v>14</v>
      </c>
      <c r="E19" s="27"/>
      <c r="G19" s="303" t="s">
        <v>15</v>
      </c>
      <c r="H19" s="303"/>
      <c r="I19" s="303"/>
      <c r="N19" s="234"/>
      <c r="O19" s="11"/>
      <c r="P19" s="235"/>
      <c r="Q19" s="233"/>
      <c r="R19" s="233"/>
      <c r="S19" s="256">
        <f>D10*2</f>
        <v>4644</v>
      </c>
      <c r="T19" s="260"/>
      <c r="U19" s="257">
        <f>D10</f>
        <v>2322</v>
      </c>
      <c r="V19" s="256">
        <f>U19*12</f>
        <v>27864</v>
      </c>
      <c r="W19" s="258">
        <f>E10/SUM(E8:E16)</f>
        <v>0.11472099853157122</v>
      </c>
      <c r="X19" s="261">
        <f>X12</f>
        <v>0.14285714285714285</v>
      </c>
      <c r="Y19" s="259">
        <f>E10/SUM(E8:E13)</f>
        <v>0.1827485380116959</v>
      </c>
      <c r="Z19" s="296">
        <f>E10/SUM(E8:E15)</f>
        <v>0.1392602495543672</v>
      </c>
    </row>
    <row r="20" spans="1:26" ht="12.75">
      <c r="A20" s="30" t="s">
        <v>16</v>
      </c>
      <c r="B20" s="5"/>
      <c r="C20" s="44"/>
      <c r="D20" s="33"/>
      <c r="E20" s="31">
        <f>E24-E8-E10-E11-E12-E13-E14-E15-E16-C19</f>
        <v>816</v>
      </c>
      <c r="G20" s="16"/>
      <c r="H20" s="47" t="s">
        <v>17</v>
      </c>
      <c r="I20" s="48" t="s">
        <v>18</v>
      </c>
      <c r="S20" s="256"/>
      <c r="T20" s="260">
        <f>U19*3%</f>
        <v>69.66</v>
      </c>
      <c r="U20" s="257">
        <f>T20+U19</f>
        <v>2391.66</v>
      </c>
      <c r="V20" s="256">
        <f>U20*12</f>
        <v>28699.92</v>
      </c>
      <c r="W20" s="258"/>
      <c r="X20" s="261"/>
      <c r="Y20" s="259"/>
      <c r="Z20" s="293"/>
    </row>
    <row r="21" spans="1:26" ht="12.75">
      <c r="A21" s="37" t="s">
        <v>19</v>
      </c>
      <c r="B21" s="17">
        <v>0</v>
      </c>
      <c r="C21" s="44"/>
      <c r="D21" s="33"/>
      <c r="E21" s="31"/>
      <c r="G21" s="22" t="s">
        <v>20</v>
      </c>
      <c r="H21" s="49">
        <f>-PV(H22/12,H23*12,H28/H24/12,0)</f>
        <v>1843567.2029007955</v>
      </c>
      <c r="I21" s="50">
        <f>I25*I26</f>
        <v>1783623.9999999998</v>
      </c>
      <c r="S21" s="256"/>
      <c r="T21" s="260">
        <f>U20*3%</f>
        <v>71.7498</v>
      </c>
      <c r="U21" s="257">
        <f>T21+U20</f>
        <v>2463.4098</v>
      </c>
      <c r="V21" s="256">
        <f>U21*12</f>
        <v>29560.9176</v>
      </c>
      <c r="W21" s="265"/>
      <c r="X21" s="261"/>
      <c r="Y21" s="259"/>
      <c r="Z21" s="293"/>
    </row>
    <row r="22" spans="1:26" ht="12.75">
      <c r="A22" s="52" t="s">
        <v>21</v>
      </c>
      <c r="B22" s="14">
        <v>8</v>
      </c>
      <c r="C22" s="14"/>
      <c r="D22" s="14"/>
      <c r="E22" s="53"/>
      <c r="G22" s="16" t="s">
        <v>3</v>
      </c>
      <c r="H22" s="54">
        <v>0.0485</v>
      </c>
      <c r="I22" s="55">
        <f>H22</f>
        <v>0.0485</v>
      </c>
      <c r="S22" s="256"/>
      <c r="T22" s="260">
        <f>U21*3%</f>
        <v>73.902294</v>
      </c>
      <c r="U22" s="257">
        <f>T22+U21</f>
        <v>2537.312094</v>
      </c>
      <c r="V22" s="256">
        <f>U22*12</f>
        <v>30447.745128</v>
      </c>
      <c r="W22" s="265"/>
      <c r="X22" s="261"/>
      <c r="Y22" s="259"/>
      <c r="Z22" s="293"/>
    </row>
    <row r="23" spans="1:26" ht="13.5" customHeight="1" thickBot="1">
      <c r="A23" s="56" t="s">
        <v>22</v>
      </c>
      <c r="B23" s="56"/>
      <c r="C23" s="17" t="s">
        <v>23</v>
      </c>
      <c r="D23" s="17"/>
      <c r="E23" s="31">
        <v>7934</v>
      </c>
      <c r="F23" t="s">
        <v>23</v>
      </c>
      <c r="G23" s="16" t="s">
        <v>24</v>
      </c>
      <c r="H23">
        <v>25</v>
      </c>
      <c r="I23" s="18">
        <f>H23</f>
        <v>25</v>
      </c>
      <c r="S23" s="256"/>
      <c r="T23" s="260">
        <f>U22*3%</f>
        <v>76.11936281999999</v>
      </c>
      <c r="U23" s="257">
        <f>U22+T23</f>
        <v>2613.4314568199998</v>
      </c>
      <c r="V23" s="256">
        <f>U23*12</f>
        <v>31361.177481839997</v>
      </c>
      <c r="W23" s="265"/>
      <c r="X23" s="261"/>
      <c r="Y23" s="259"/>
      <c r="Z23" s="293"/>
    </row>
    <row r="24" spans="1:26" ht="13.5" thickBot="1">
      <c r="A24" s="57" t="s">
        <v>25</v>
      </c>
      <c r="B24" s="56"/>
      <c r="C24" s="56"/>
      <c r="D24" s="56"/>
      <c r="E24" s="31">
        <v>7596</v>
      </c>
      <c r="G24" s="16" t="s">
        <v>26</v>
      </c>
      <c r="H24" s="58">
        <v>1.4</v>
      </c>
      <c r="I24" s="18"/>
      <c r="S24" s="307" t="s">
        <v>150</v>
      </c>
      <c r="T24" s="308"/>
      <c r="U24" s="308"/>
      <c r="V24" s="308"/>
      <c r="W24" s="308"/>
      <c r="X24" s="308"/>
      <c r="Y24" s="308"/>
      <c r="Z24" s="309"/>
    </row>
    <row r="25" spans="1:26" ht="12.75">
      <c r="A25" s="60" t="s">
        <v>27</v>
      </c>
      <c r="B25" s="60"/>
      <c r="C25" s="14"/>
      <c r="D25" s="14"/>
      <c r="E25" s="61">
        <f>E24/E23</f>
        <v>0.9573985379379885</v>
      </c>
      <c r="G25" s="16" t="s">
        <v>6</v>
      </c>
      <c r="I25" s="62">
        <f>I28/I29</f>
        <v>2744036.9230769225</v>
      </c>
      <c r="J25" s="63"/>
      <c r="S25" s="256">
        <f>U25*2</f>
        <v>4790</v>
      </c>
      <c r="T25" s="260"/>
      <c r="U25" s="257">
        <f>D11</f>
        <v>2395</v>
      </c>
      <c r="V25" s="256">
        <f>U25*12</f>
        <v>28740</v>
      </c>
      <c r="W25" s="258">
        <f>E11/SUM(E8:E16)</f>
        <v>0.11655653450807636</v>
      </c>
      <c r="X25" s="261">
        <f>X19</f>
        <v>0.14285714285714285</v>
      </c>
      <c r="Y25" s="259">
        <f>E11/SUM(E8:E13)</f>
        <v>0.18567251461988304</v>
      </c>
      <c r="Z25" s="296">
        <f>E11/SUM(E8:E15)</f>
        <v>0.14148841354723707</v>
      </c>
    </row>
    <row r="26" spans="1:26" ht="12.75">
      <c r="A26" s="66" t="s">
        <v>28</v>
      </c>
      <c r="B26" s="67">
        <v>28</v>
      </c>
      <c r="C26" s="68" t="s">
        <v>29</v>
      </c>
      <c r="D26" s="69">
        <f>SUM(E10:E15)/E24</f>
        <v>0.43970510795155343</v>
      </c>
      <c r="E26" s="70">
        <f>SUM(D10:D15)/6</f>
        <v>1960.5</v>
      </c>
      <c r="G26" s="16" t="s">
        <v>30</v>
      </c>
      <c r="I26" s="71">
        <v>0.65</v>
      </c>
      <c r="J26" s="21"/>
      <c r="N26" s="59"/>
      <c r="O26" s="65"/>
      <c r="P26" s="65"/>
      <c r="Q26" s="65"/>
      <c r="R26" s="65"/>
      <c r="S26" s="256"/>
      <c r="T26" s="260">
        <f>U25*3%</f>
        <v>71.85</v>
      </c>
      <c r="U26" s="257">
        <f>T26+U25</f>
        <v>2466.85</v>
      </c>
      <c r="V26" s="256">
        <f>U26*12</f>
        <v>29602.199999999997</v>
      </c>
      <c r="W26" s="265"/>
      <c r="X26" s="261"/>
      <c r="Y26" s="259"/>
      <c r="Z26" s="293"/>
    </row>
    <row r="27" spans="1:26" ht="12.75">
      <c r="A27" s="66" t="s">
        <v>31</v>
      </c>
      <c r="B27" s="67">
        <v>23</v>
      </c>
      <c r="C27" s="68" t="s">
        <v>29</v>
      </c>
      <c r="D27" s="69">
        <f>E8/E24</f>
        <v>0.1511321748288573</v>
      </c>
      <c r="E27" s="70">
        <f>D8</f>
        <v>3884</v>
      </c>
      <c r="G27" s="16" t="s">
        <v>32</v>
      </c>
      <c r="I27" s="72">
        <f>I25/E24</f>
        <v>361.2476202049661</v>
      </c>
      <c r="J27" s="73"/>
      <c r="Q27" s="65"/>
      <c r="R27" s="65"/>
      <c r="S27" s="256"/>
      <c r="T27" s="260">
        <f>U26*3%</f>
        <v>74.0055</v>
      </c>
      <c r="U27" s="257">
        <f>T27+U26</f>
        <v>2540.8555</v>
      </c>
      <c r="V27" s="256">
        <f>U27*12</f>
        <v>30490.266000000003</v>
      </c>
      <c r="W27" s="265"/>
      <c r="X27" s="261"/>
      <c r="Y27" s="259"/>
      <c r="Z27" s="293"/>
    </row>
    <row r="28" spans="1:26" ht="12.75">
      <c r="A28" s="66" t="s">
        <v>33</v>
      </c>
      <c r="B28" s="250">
        <v>32</v>
      </c>
      <c r="C28" s="75" t="s">
        <v>29</v>
      </c>
      <c r="D28" s="69">
        <f>E16/E24</f>
        <v>0.1263823064770932</v>
      </c>
      <c r="E28" s="70">
        <f>D16</f>
        <v>2315</v>
      </c>
      <c r="G28" s="16" t="s">
        <v>34</v>
      </c>
      <c r="H28" s="76">
        <f>E78</f>
        <v>178362.39999999997</v>
      </c>
      <c r="I28" s="50">
        <f>H28</f>
        <v>178362.39999999997</v>
      </c>
      <c r="Q28" s="65"/>
      <c r="R28" s="65"/>
      <c r="S28" s="256"/>
      <c r="T28" s="260">
        <f>U27*3%</f>
        <v>76.225665</v>
      </c>
      <c r="U28" s="257">
        <f>T28+U27</f>
        <v>2617.081165</v>
      </c>
      <c r="V28" s="256">
        <f>U28*12</f>
        <v>31404.973980000002</v>
      </c>
      <c r="W28" s="265"/>
      <c r="X28" s="261"/>
      <c r="Y28" s="259"/>
      <c r="Z28" s="293"/>
    </row>
    <row r="29" spans="1:26" ht="13.5" thickBot="1">
      <c r="A29" s="66" t="s">
        <v>35</v>
      </c>
      <c r="B29" s="77">
        <v>28</v>
      </c>
      <c r="C29" s="68" t="s">
        <v>29</v>
      </c>
      <c r="D29" s="69">
        <f>E20/E24</f>
        <v>0.10742496050552923</v>
      </c>
      <c r="E29" s="70">
        <f>E20*B29/12</f>
        <v>1904</v>
      </c>
      <c r="G29" s="16" t="s">
        <v>36</v>
      </c>
      <c r="I29" s="78">
        <v>0.065</v>
      </c>
      <c r="Q29" s="65"/>
      <c r="R29" s="65"/>
      <c r="S29" s="256"/>
      <c r="T29" s="260">
        <f>U28*3%</f>
        <v>78.51243495</v>
      </c>
      <c r="U29" s="257">
        <f>U28+T29</f>
        <v>2695.59359995</v>
      </c>
      <c r="V29" s="256">
        <f>U29*12</f>
        <v>32347.123199400005</v>
      </c>
      <c r="W29" s="265"/>
      <c r="X29" s="261"/>
      <c r="Y29" s="259"/>
      <c r="Z29" s="293"/>
    </row>
    <row r="30" spans="1:26" ht="13.5" thickBot="1">
      <c r="A30" s="66" t="s">
        <v>37</v>
      </c>
      <c r="B30" s="67">
        <v>28</v>
      </c>
      <c r="C30" s="68" t="s">
        <v>29</v>
      </c>
      <c r="D30" s="69">
        <f>C19/E24</f>
        <v>0.17535545023696683</v>
      </c>
      <c r="E30" s="70">
        <f>B30*C19/12</f>
        <v>3108</v>
      </c>
      <c r="G30" s="22" t="s">
        <v>38</v>
      </c>
      <c r="H30" s="76">
        <v>1800000</v>
      </c>
      <c r="I30" s="27"/>
      <c r="K30" s="79"/>
      <c r="M30" s="282"/>
      <c r="Q30" s="65"/>
      <c r="R30" s="65"/>
      <c r="S30" s="297" t="s">
        <v>151</v>
      </c>
      <c r="T30" s="298"/>
      <c r="U30" s="298"/>
      <c r="V30" s="298"/>
      <c r="W30" s="298"/>
      <c r="X30" s="298"/>
      <c r="Y30" s="298"/>
      <c r="Z30" s="299"/>
    </row>
    <row r="31" spans="1:26" ht="12.75">
      <c r="A31" s="66"/>
      <c r="B31" s="75"/>
      <c r="C31" s="80"/>
      <c r="D31" s="69">
        <f>SUM(D26:D30)</f>
        <v>1</v>
      </c>
      <c r="E31" s="81"/>
      <c r="G31" s="39" t="s">
        <v>39</v>
      </c>
      <c r="H31" s="82">
        <f>PMT(H22/12,H23*12,H30,0)*12</f>
        <v>-124390.9554007334</v>
      </c>
      <c r="I31" s="41"/>
      <c r="Q31" s="65"/>
      <c r="R31" s="65"/>
      <c r="S31" s="256">
        <f>U31*2</f>
        <v>3964</v>
      </c>
      <c r="T31" s="260"/>
      <c r="U31" s="257">
        <v>1982</v>
      </c>
      <c r="V31" s="256">
        <f>U31*12</f>
        <v>23784</v>
      </c>
      <c r="W31" s="258">
        <f>E12/SUM(E8:E16)</f>
        <v>0.0893906020558003</v>
      </c>
      <c r="X31" s="261">
        <f>X25</f>
        <v>0.14285714285714285</v>
      </c>
      <c r="Y31" s="259">
        <f>E12/SUM(E8:E13)</f>
        <v>0.14239766081871344</v>
      </c>
      <c r="Z31" s="296">
        <f>E12/SUM(E8:E15)</f>
        <v>0.10851158645276292</v>
      </c>
    </row>
    <row r="32" spans="1:26" ht="12.75">
      <c r="A32" s="66" t="s">
        <v>40</v>
      </c>
      <c r="B32" s="83"/>
      <c r="C32" s="80"/>
      <c r="D32" s="80"/>
      <c r="E32" s="84">
        <v>0</v>
      </c>
      <c r="Q32" s="65"/>
      <c r="R32" s="65"/>
      <c r="S32" s="256"/>
      <c r="T32" s="260">
        <f>U31*3%</f>
        <v>59.46</v>
      </c>
      <c r="U32" s="257">
        <f>T32+U31</f>
        <v>2041.46</v>
      </c>
      <c r="V32" s="256">
        <f>U32*12</f>
        <v>24497.52</v>
      </c>
      <c r="W32" s="265"/>
      <c r="X32" s="261"/>
      <c r="Y32" s="259"/>
      <c r="Z32" s="293"/>
    </row>
    <row r="33" spans="1:26" ht="12.75">
      <c r="A33" s="66" t="s">
        <v>41</v>
      </c>
      <c r="B33" s="83"/>
      <c r="C33" s="80"/>
      <c r="D33" s="80"/>
      <c r="E33" s="84">
        <v>0</v>
      </c>
      <c r="G33" s="303" t="s">
        <v>42</v>
      </c>
      <c r="H33" s="303"/>
      <c r="I33" s="303"/>
      <c r="N33" s="59"/>
      <c r="O33" s="65"/>
      <c r="P33" s="65"/>
      <c r="Q33" s="65"/>
      <c r="R33" s="65"/>
      <c r="S33" s="256"/>
      <c r="T33" s="260">
        <f>U32*3%</f>
        <v>61.2438</v>
      </c>
      <c r="U33" s="257">
        <f>T33+U32</f>
        <v>2102.7038000000002</v>
      </c>
      <c r="V33" s="256">
        <f>U33*12</f>
        <v>25232.445600000003</v>
      </c>
      <c r="W33" s="265"/>
      <c r="X33" s="261"/>
      <c r="Y33" s="259"/>
      <c r="Z33" s="293"/>
    </row>
    <row r="34" spans="1:26" ht="12.75">
      <c r="A34" s="66"/>
      <c r="B34" s="83"/>
      <c r="C34" s="80"/>
      <c r="D34" s="80"/>
      <c r="E34" s="70"/>
      <c r="G34" s="16" t="s">
        <v>43</v>
      </c>
      <c r="H34" s="17"/>
      <c r="I34" s="85" t="e">
        <f>E54</f>
        <v>#REF!</v>
      </c>
      <c r="K34" s="86"/>
      <c r="L34" s="86"/>
      <c r="N34" s="59"/>
      <c r="O34" s="65"/>
      <c r="P34" s="65"/>
      <c r="Q34" s="65"/>
      <c r="R34" s="65"/>
      <c r="S34" s="256"/>
      <c r="T34" s="260">
        <f>U33*3%</f>
        <v>63.08111400000001</v>
      </c>
      <c r="U34" s="257">
        <f>T34+U33</f>
        <v>2165.7849140000003</v>
      </c>
      <c r="V34" s="256">
        <f>U34*12</f>
        <v>25989.418968000005</v>
      </c>
      <c r="W34" s="265"/>
      <c r="X34" s="261"/>
      <c r="Y34" s="266"/>
      <c r="Z34" s="293"/>
    </row>
    <row r="35" spans="1:26" ht="13.5" thickBot="1">
      <c r="A35" s="87" t="s">
        <v>44</v>
      </c>
      <c r="B35" s="88"/>
      <c r="C35" s="80"/>
      <c r="D35" s="80"/>
      <c r="E35" s="89">
        <v>600000</v>
      </c>
      <c r="G35" s="16" t="s">
        <v>45</v>
      </c>
      <c r="H35" s="90"/>
      <c r="I35" s="91">
        <f>-E35</f>
        <v>-600000</v>
      </c>
      <c r="K35" s="86"/>
      <c r="L35" s="86"/>
      <c r="N35" s="59"/>
      <c r="O35" s="65"/>
      <c r="P35" s="65"/>
      <c r="Q35" s="65"/>
      <c r="R35" s="65"/>
      <c r="S35" s="256"/>
      <c r="T35" s="260">
        <f>U34*3%</f>
        <v>64.97354742</v>
      </c>
      <c r="U35" s="257">
        <f>U34+T35</f>
        <v>2230.7584614200005</v>
      </c>
      <c r="V35" s="256">
        <f>U35*12</f>
        <v>26769.101537040005</v>
      </c>
      <c r="W35" s="265"/>
      <c r="X35" s="261"/>
      <c r="Y35" s="259"/>
      <c r="Z35" s="293"/>
    </row>
    <row r="36" spans="1:26" ht="13.5" thickBot="1">
      <c r="A36" s="16"/>
      <c r="B36" s="17"/>
      <c r="C36" s="56"/>
      <c r="D36" s="56"/>
      <c r="E36" s="92"/>
      <c r="G36" s="16" t="s">
        <v>46</v>
      </c>
      <c r="H36" s="90">
        <v>0.8</v>
      </c>
      <c r="I36" s="91" t="e">
        <f>-E46*H36</f>
        <v>#REF!</v>
      </c>
      <c r="J36" s="93"/>
      <c r="K36" s="94"/>
      <c r="L36" s="86"/>
      <c r="N36" s="59"/>
      <c r="O36" s="65"/>
      <c r="P36" s="65"/>
      <c r="Q36" s="65"/>
      <c r="R36" s="65"/>
      <c r="S36" s="297" t="s">
        <v>152</v>
      </c>
      <c r="T36" s="298"/>
      <c r="U36" s="298"/>
      <c r="V36" s="298"/>
      <c r="W36" s="298"/>
      <c r="X36" s="298"/>
      <c r="Y36" s="298"/>
      <c r="Z36" s="299"/>
    </row>
    <row r="37" spans="1:26" ht="12.75">
      <c r="A37" s="4" t="s">
        <v>47</v>
      </c>
      <c r="B37" s="4"/>
      <c r="C37" s="4"/>
      <c r="D37" s="4"/>
      <c r="E37" s="4"/>
      <c r="G37" s="30" t="s">
        <v>48</v>
      </c>
      <c r="H37" s="90">
        <v>0.8</v>
      </c>
      <c r="I37" s="91" t="e">
        <f>H37*-#REF!</f>
        <v>#REF!</v>
      </c>
      <c r="K37" s="86"/>
      <c r="L37" s="86"/>
      <c r="N37" s="59"/>
      <c r="O37" s="65"/>
      <c r="P37" s="65"/>
      <c r="Q37" s="65"/>
      <c r="R37" s="65"/>
      <c r="S37" s="256">
        <f>U37*2</f>
        <v>4172</v>
      </c>
      <c r="T37" s="292"/>
      <c r="U37" s="267">
        <v>2086</v>
      </c>
      <c r="V37" s="256">
        <f>D13*12</f>
        <v>24972</v>
      </c>
      <c r="W37" s="258">
        <f>E13/SUM(E8:E16)</f>
        <v>0.09636563876651982</v>
      </c>
      <c r="X37" s="261">
        <f>X31</f>
        <v>0.14285714285714285</v>
      </c>
      <c r="Y37" s="259">
        <f>E13/SUM(E8:E13)</f>
        <v>0.15350877192982457</v>
      </c>
      <c r="Z37" s="296">
        <f>E13/SUM(E8:E15)</f>
        <v>0.11697860962566844</v>
      </c>
    </row>
    <row r="38" spans="1:26" ht="12.75">
      <c r="A38" s="95" t="s">
        <v>49</v>
      </c>
      <c r="B38" s="96"/>
      <c r="C38" s="97">
        <f>E38/E6</f>
        <v>47.61904761904762</v>
      </c>
      <c r="D38" s="97" t="s">
        <v>50</v>
      </c>
      <c r="E38" s="98">
        <f>E35</f>
        <v>600000</v>
      </c>
      <c r="G38" s="16" t="s">
        <v>51</v>
      </c>
      <c r="H38" s="17"/>
      <c r="I38" s="99">
        <f>-H30</f>
        <v>-1800000</v>
      </c>
      <c r="J38" s="86"/>
      <c r="K38" s="100"/>
      <c r="L38" s="94"/>
      <c r="N38" s="59"/>
      <c r="O38" s="65"/>
      <c r="P38" s="101"/>
      <c r="Q38" s="101"/>
      <c r="R38" s="101"/>
      <c r="S38" s="256"/>
      <c r="T38" s="260">
        <f>D13*3%</f>
        <v>62.43</v>
      </c>
      <c r="U38" s="267">
        <f>D13+T38</f>
        <v>2143.43</v>
      </c>
      <c r="V38" s="256">
        <f>U38*12</f>
        <v>25721.159999999996</v>
      </c>
      <c r="W38" s="268"/>
      <c r="X38" s="261"/>
      <c r="Y38" s="259"/>
      <c r="Z38" s="293"/>
    </row>
    <row r="39" spans="1:26" ht="12.75">
      <c r="A39" s="22" t="s">
        <v>52</v>
      </c>
      <c r="B39" s="23"/>
      <c r="C39" s="102" t="e">
        <f>E39/E23</f>
        <v>#REF!</v>
      </c>
      <c r="D39" s="102" t="s">
        <v>50</v>
      </c>
      <c r="E39" s="98" t="e">
        <f>#REF!</f>
        <v>#REF!</v>
      </c>
      <c r="G39" s="16" t="s">
        <v>53</v>
      </c>
      <c r="H39" s="90">
        <v>0.15</v>
      </c>
      <c r="I39" s="99" t="e">
        <f>-#REF!*H39</f>
        <v>#REF!</v>
      </c>
      <c r="J39" s="86"/>
      <c r="K39" s="100"/>
      <c r="L39" s="103"/>
      <c r="P39" s="65"/>
      <c r="Q39" s="65"/>
      <c r="R39" s="65"/>
      <c r="S39" s="256"/>
      <c r="T39" s="260">
        <f>U38*3%</f>
        <v>64.3029</v>
      </c>
      <c r="U39" s="267">
        <f>T39+U38</f>
        <v>2207.7329</v>
      </c>
      <c r="V39" s="256">
        <f>U39*12</f>
        <v>26492.7948</v>
      </c>
      <c r="W39" s="265"/>
      <c r="X39" s="261"/>
      <c r="Y39" s="259"/>
      <c r="Z39" s="293"/>
    </row>
    <row r="40" spans="1:26" ht="12.75">
      <c r="A40" s="22" t="s">
        <v>54</v>
      </c>
      <c r="B40" s="23"/>
      <c r="C40" s="102"/>
      <c r="D40" s="102"/>
      <c r="E40" s="98" t="e">
        <f>#REF!</f>
        <v>#REF!</v>
      </c>
      <c r="G40" s="30" t="s">
        <v>55</v>
      </c>
      <c r="H40" s="79"/>
      <c r="I40" s="104">
        <v>253900</v>
      </c>
      <c r="K40" s="100"/>
      <c r="L40" s="103"/>
      <c r="S40" s="256"/>
      <c r="T40" s="260">
        <f>U39*3%</f>
        <v>66.231987</v>
      </c>
      <c r="U40" s="267">
        <f>U39+T40</f>
        <v>2273.964887</v>
      </c>
      <c r="V40" s="256">
        <f>U40*12</f>
        <v>27287.578644</v>
      </c>
      <c r="W40" s="258"/>
      <c r="X40" s="261"/>
      <c r="Y40" s="259"/>
      <c r="Z40" s="293"/>
    </row>
    <row r="41" spans="1:26" ht="13.5" thickBot="1">
      <c r="A41" s="22" t="s">
        <v>56</v>
      </c>
      <c r="B41" s="23"/>
      <c r="C41" s="105">
        <v>0.01</v>
      </c>
      <c r="D41" s="106"/>
      <c r="E41" s="98" t="e">
        <f>#REF!</f>
        <v>#REF!</v>
      </c>
      <c r="F41" s="107"/>
      <c r="G41" s="30" t="s">
        <v>57</v>
      </c>
      <c r="H41" s="79"/>
      <c r="I41" s="104" t="e">
        <f>#REF!</f>
        <v>#REF!</v>
      </c>
      <c r="K41" s="100"/>
      <c r="L41" s="94"/>
      <c r="N41" s="59"/>
      <c r="O41" s="65"/>
      <c r="S41" s="256"/>
      <c r="T41" s="262">
        <f>U40*3%</f>
        <v>68.21894661</v>
      </c>
      <c r="U41" s="267">
        <f>U40+T41</f>
        <v>2342.18383361</v>
      </c>
      <c r="V41" s="263">
        <f>U41*12</f>
        <v>28106.20600332</v>
      </c>
      <c r="W41" s="269"/>
      <c r="X41" s="264"/>
      <c r="Y41" s="259"/>
      <c r="Z41" s="293"/>
    </row>
    <row r="42" spans="1:26" ht="13.5" thickBot="1">
      <c r="A42" s="22" t="s">
        <v>140</v>
      </c>
      <c r="B42" s="23"/>
      <c r="C42" s="105"/>
      <c r="D42" s="106"/>
      <c r="E42" s="98" t="e">
        <f>#REF!</f>
        <v>#REF!</v>
      </c>
      <c r="F42" s="107"/>
      <c r="G42" s="30"/>
      <c r="H42" s="79"/>
      <c r="I42" s="104"/>
      <c r="K42" s="100"/>
      <c r="L42" s="94"/>
      <c r="N42" s="59"/>
      <c r="O42" s="65"/>
      <c r="S42" s="290"/>
      <c r="T42" s="291"/>
      <c r="U42" s="267"/>
      <c r="V42" s="270"/>
      <c r="W42" s="269"/>
      <c r="X42" s="258"/>
      <c r="Y42" s="259"/>
      <c r="Z42" s="293"/>
    </row>
    <row r="43" spans="1:26" ht="13.5" thickBot="1">
      <c r="A43" s="22" t="s">
        <v>139</v>
      </c>
      <c r="B43" s="23"/>
      <c r="C43" s="106">
        <v>0.1</v>
      </c>
      <c r="D43" s="106" t="s">
        <v>58</v>
      </c>
      <c r="E43" s="108" t="e">
        <f>#REF!</f>
        <v>#REF!</v>
      </c>
      <c r="F43" s="109" t="e">
        <f aca="true" t="shared" si="0" ref="F43:F51">E43/$E$54</f>
        <v>#REF!</v>
      </c>
      <c r="G43" s="16" t="s">
        <v>59</v>
      </c>
      <c r="H43" s="90"/>
      <c r="I43" s="99">
        <f>-247756+150000</f>
        <v>-97756</v>
      </c>
      <c r="J43" s="110"/>
      <c r="K43" s="100"/>
      <c r="L43" s="94"/>
      <c r="P43" s="65"/>
      <c r="Q43" s="65"/>
      <c r="R43" s="65"/>
      <c r="S43" s="300" t="s">
        <v>153</v>
      </c>
      <c r="T43" s="301"/>
      <c r="U43" s="301"/>
      <c r="V43" s="301"/>
      <c r="W43" s="301"/>
      <c r="X43" s="301"/>
      <c r="Y43" s="301"/>
      <c r="Z43" s="302"/>
    </row>
    <row r="44" spans="1:26" ht="12.75">
      <c r="A44" s="22" t="s">
        <v>60</v>
      </c>
      <c r="B44" s="23"/>
      <c r="C44" s="111" t="e">
        <f>E44/(E40+E39)</f>
        <v>#REF!</v>
      </c>
      <c r="D44" s="106" t="s">
        <v>58</v>
      </c>
      <c r="E44" s="108" t="e">
        <f>#REF!</f>
        <v>#REF!</v>
      </c>
      <c r="F44" s="109" t="e">
        <f t="shared" si="0"/>
        <v>#REF!</v>
      </c>
      <c r="G44" s="112" t="s">
        <v>61</v>
      </c>
      <c r="H44" s="113"/>
      <c r="I44" s="114" t="e">
        <f>I45-H56-H58-H60</f>
        <v>#REF!</v>
      </c>
      <c r="K44" s="100"/>
      <c r="L44" s="94"/>
      <c r="N44" s="59"/>
      <c r="O44" s="65"/>
      <c r="S44" s="256">
        <f>2*(D14+D15)</f>
        <v>5966</v>
      </c>
      <c r="T44" s="260"/>
      <c r="U44" s="257">
        <v>2983</v>
      </c>
      <c r="V44" s="256">
        <f>U44*12</f>
        <v>35796</v>
      </c>
      <c r="W44" s="258">
        <f>SUM(E14:E15)/SUM(E8:E16)</f>
        <v>0.1960352422907489</v>
      </c>
      <c r="X44" s="261">
        <f>X37</f>
        <v>0.14285714285714285</v>
      </c>
      <c r="Y44" s="259">
        <v>0</v>
      </c>
      <c r="Z44" s="296">
        <f>SUM(E14:E15)/SUM(E8:E15)</f>
        <v>0.23796791443850268</v>
      </c>
    </row>
    <row r="45" spans="1:26" ht="12.75">
      <c r="A45" s="116" t="s">
        <v>62</v>
      </c>
      <c r="B45" s="117"/>
      <c r="C45" s="111" t="e">
        <f>E45/(E39+E40)</f>
        <v>#REF!</v>
      </c>
      <c r="D45" s="106" t="s">
        <v>58</v>
      </c>
      <c r="E45" s="108" t="e">
        <f>#REF!</f>
        <v>#REF!</v>
      </c>
      <c r="F45" s="107" t="e">
        <f t="shared" si="0"/>
        <v>#REF!</v>
      </c>
      <c r="G45" s="16" t="s">
        <v>63</v>
      </c>
      <c r="H45" s="118"/>
      <c r="I45" s="119" t="e">
        <f>SUM(I34:I43)</f>
        <v>#REF!</v>
      </c>
      <c r="J45" s="120"/>
      <c r="P45" s="65"/>
      <c r="Q45" s="65"/>
      <c r="R45" s="65"/>
      <c r="S45" s="256"/>
      <c r="T45" s="260">
        <f>U44*3%</f>
        <v>89.49</v>
      </c>
      <c r="U45" s="257">
        <f>T45+U44</f>
        <v>3072.49</v>
      </c>
      <c r="V45" s="256">
        <f>U45*12</f>
        <v>36869.88</v>
      </c>
      <c r="W45" s="258"/>
      <c r="X45" s="261"/>
      <c r="Y45" s="259"/>
      <c r="Z45" s="293"/>
    </row>
    <row r="46" spans="1:26" ht="12.75">
      <c r="A46" s="22" t="s">
        <v>64</v>
      </c>
      <c r="B46" s="23"/>
      <c r="C46" s="111" t="e">
        <f>E46/I25</f>
        <v>#REF!</v>
      </c>
      <c r="D46" s="106" t="s">
        <v>65</v>
      </c>
      <c r="E46" s="108" t="e">
        <f>#REF!</f>
        <v>#REF!</v>
      </c>
      <c r="F46" s="121" t="e">
        <f t="shared" si="0"/>
        <v>#REF!</v>
      </c>
      <c r="G46" s="16" t="s">
        <v>66</v>
      </c>
      <c r="H46" s="17"/>
      <c r="I46" s="91">
        <f>E78</f>
        <v>178362.39999999997</v>
      </c>
      <c r="K46" s="86"/>
      <c r="L46" s="86"/>
      <c r="N46" s="74"/>
      <c r="O46" s="64"/>
      <c r="P46" s="65"/>
      <c r="Q46" s="65"/>
      <c r="R46" s="65"/>
      <c r="S46" s="256"/>
      <c r="T46" s="260">
        <f>U45*3%</f>
        <v>92.17469999999999</v>
      </c>
      <c r="U46" s="257">
        <f>T46+U45</f>
        <v>3164.6647</v>
      </c>
      <c r="V46" s="256">
        <f>U46*12</f>
        <v>37975.9764</v>
      </c>
      <c r="W46" s="258"/>
      <c r="X46" s="261"/>
      <c r="Y46" s="259"/>
      <c r="Z46" s="293"/>
    </row>
    <row r="47" spans="1:26" ht="12.75">
      <c r="A47" s="22" t="s">
        <v>67</v>
      </c>
      <c r="B47" s="23"/>
      <c r="C47" s="111" t="e">
        <f>E47/(E39+E40)</f>
        <v>#REF!</v>
      </c>
      <c r="D47" s="106" t="s">
        <v>58</v>
      </c>
      <c r="E47" s="108" t="e">
        <f>#REF!</f>
        <v>#REF!</v>
      </c>
      <c r="F47" s="122" t="e">
        <f t="shared" si="0"/>
        <v>#REF!</v>
      </c>
      <c r="G47" s="16" t="s">
        <v>68</v>
      </c>
      <c r="H47" s="90"/>
      <c r="I47" s="91">
        <f>PMT(H22/12,H23*12,-I38,0)*12</f>
        <v>-124390.9554007334</v>
      </c>
      <c r="J47" s="93">
        <f>I47/12</f>
        <v>-10365.912950061116</v>
      </c>
      <c r="K47" s="86"/>
      <c r="L47" s="86"/>
      <c r="N47" s="59"/>
      <c r="O47" s="115"/>
      <c r="P47" s="115"/>
      <c r="Q47" s="115"/>
      <c r="R47" s="115"/>
      <c r="S47" s="256"/>
      <c r="T47" s="260">
        <f>U46*3%</f>
        <v>94.93994099999999</v>
      </c>
      <c r="U47" s="257">
        <f>T47+U46</f>
        <v>3259.604641</v>
      </c>
      <c r="V47" s="256">
        <f>U47*12</f>
        <v>39115.255692</v>
      </c>
      <c r="W47" s="258"/>
      <c r="X47" s="261"/>
      <c r="Y47" s="259"/>
      <c r="Z47" s="293"/>
    </row>
    <row r="48" spans="1:26" ht="13.5" thickBot="1">
      <c r="A48" s="22" t="s">
        <v>69</v>
      </c>
      <c r="B48" s="23"/>
      <c r="C48" s="111" t="e">
        <f>E48/(E39+E40)</f>
        <v>#REF!</v>
      </c>
      <c r="D48" s="106" t="s">
        <v>58</v>
      </c>
      <c r="E48" s="108" t="e">
        <f>#REF!</f>
        <v>#REF!</v>
      </c>
      <c r="F48" s="109" t="e">
        <f t="shared" si="0"/>
        <v>#REF!</v>
      </c>
      <c r="G48" s="16" t="s">
        <v>70</v>
      </c>
      <c r="H48" s="90"/>
      <c r="I48" s="91"/>
      <c r="J48" s="93"/>
      <c r="K48" s="86"/>
      <c r="L48" s="86"/>
      <c r="N48" s="74"/>
      <c r="O48" s="64"/>
      <c r="P48" s="64"/>
      <c r="Q48" s="64"/>
      <c r="R48" s="64"/>
      <c r="S48" s="256"/>
      <c r="T48" s="260">
        <f>U47*3%</f>
        <v>97.78813923</v>
      </c>
      <c r="U48" s="257">
        <f>U47+T48</f>
        <v>3357.39278023</v>
      </c>
      <c r="V48" s="256">
        <f>U48*12</f>
        <v>40288.71336276</v>
      </c>
      <c r="W48" s="258"/>
      <c r="X48" s="261"/>
      <c r="Y48" s="259"/>
      <c r="Z48" s="293"/>
    </row>
    <row r="49" spans="1:26" ht="13.5" thickBot="1">
      <c r="A49" s="22" t="s">
        <v>71</v>
      </c>
      <c r="B49" s="23"/>
      <c r="C49" s="111" t="e">
        <f>E49/(E39+E40)</f>
        <v>#REF!</v>
      </c>
      <c r="D49" s="106" t="s">
        <v>58</v>
      </c>
      <c r="E49" s="108" t="e">
        <f>#REF!</f>
        <v>#REF!</v>
      </c>
      <c r="F49" s="121" t="e">
        <f t="shared" si="0"/>
        <v>#REF!</v>
      </c>
      <c r="G49" s="123" t="s">
        <v>72</v>
      </c>
      <c r="H49" s="124"/>
      <c r="I49" s="125">
        <f>I46+I47+I48</f>
        <v>53971.44459926657</v>
      </c>
      <c r="K49" s="86"/>
      <c r="L49" s="86"/>
      <c r="N49" s="17"/>
      <c r="O49" s="65"/>
      <c r="P49" s="65"/>
      <c r="Q49" s="65"/>
      <c r="R49" s="65"/>
      <c r="S49" s="300" t="s">
        <v>154</v>
      </c>
      <c r="T49" s="301"/>
      <c r="U49" s="301"/>
      <c r="V49" s="301"/>
      <c r="W49" s="301"/>
      <c r="X49" s="301"/>
      <c r="Y49" s="301"/>
      <c r="Z49" s="302"/>
    </row>
    <row r="50" spans="1:26" ht="12.75">
      <c r="A50" s="22" t="s">
        <v>73</v>
      </c>
      <c r="B50" s="23"/>
      <c r="C50" s="111" t="e">
        <f>E50/(E39+E40)</f>
        <v>#REF!</v>
      </c>
      <c r="D50" s="106" t="s">
        <v>58</v>
      </c>
      <c r="E50" s="108" t="e">
        <f>#REF!</f>
        <v>#REF!</v>
      </c>
      <c r="F50" s="121" t="e">
        <f t="shared" si="0"/>
        <v>#REF!</v>
      </c>
      <c r="G50" s="126"/>
      <c r="H50" s="127"/>
      <c r="I50" s="53"/>
      <c r="K50" s="86"/>
      <c r="L50" s="86"/>
      <c r="N50" s="128"/>
      <c r="O50" s="65"/>
      <c r="P50" s="65"/>
      <c r="Q50" s="65" t="s">
        <v>125</v>
      </c>
      <c r="R50" s="65"/>
      <c r="S50" s="256">
        <f>U50*2</f>
        <v>4630</v>
      </c>
      <c r="T50" s="271"/>
      <c r="U50" s="270">
        <f>D16</f>
        <v>2315</v>
      </c>
      <c r="V50" s="256">
        <f aca="true" t="shared" si="1" ref="V50:V60">U50*12</f>
        <v>27780</v>
      </c>
      <c r="W50" s="258">
        <f>E16/SUM(E8:E16)</f>
        <v>0.1762114537444934</v>
      </c>
      <c r="X50" s="261">
        <f>X44</f>
        <v>0.14285714285714285</v>
      </c>
      <c r="Y50" s="259">
        <v>0</v>
      </c>
      <c r="Z50" s="296">
        <v>0</v>
      </c>
    </row>
    <row r="51" spans="1:26" ht="13.5" thickBot="1">
      <c r="A51" s="129" t="s">
        <v>74</v>
      </c>
      <c r="B51" s="130"/>
      <c r="C51" s="131" t="e">
        <f>E51/(E39+E40)</f>
        <v>#REF!</v>
      </c>
      <c r="D51" s="131" t="s">
        <v>58</v>
      </c>
      <c r="E51" s="132" t="e">
        <f>#REF!</f>
        <v>#REF!</v>
      </c>
      <c r="F51" s="121" t="e">
        <f t="shared" si="0"/>
        <v>#REF!</v>
      </c>
      <c r="K51" s="86"/>
      <c r="L51" s="86"/>
      <c r="S51" s="256"/>
      <c r="T51" s="271">
        <f aca="true" t="shared" si="2" ref="T51:T60">U50*3%</f>
        <v>69.45</v>
      </c>
      <c r="U51" s="270">
        <f>T51+U50</f>
        <v>2384.45</v>
      </c>
      <c r="V51" s="256">
        <f t="shared" si="1"/>
        <v>28613.399999999998</v>
      </c>
      <c r="W51" s="258"/>
      <c r="X51" s="261"/>
      <c r="Y51" s="266"/>
      <c r="Z51" s="293"/>
    </row>
    <row r="52" spans="1:26" ht="13.5" thickBot="1">
      <c r="A52" s="133" t="s">
        <v>75</v>
      </c>
      <c r="B52" s="134"/>
      <c r="C52" s="135" t="e">
        <f>SUM(E43:E51)/E23</f>
        <v>#REF!</v>
      </c>
      <c r="D52" s="136" t="s">
        <v>76</v>
      </c>
      <c r="E52" s="137" t="e">
        <f>SUM(E44:E51)</f>
        <v>#REF!</v>
      </c>
      <c r="F52" s="122"/>
      <c r="G52" s="4" t="s">
        <v>77</v>
      </c>
      <c r="H52" s="4"/>
      <c r="I52" s="4"/>
      <c r="S52" s="256"/>
      <c r="T52" s="271">
        <f t="shared" si="2"/>
        <v>71.53349999999999</v>
      </c>
      <c r="U52" s="270">
        <f>T52+U51</f>
        <v>2455.9835</v>
      </c>
      <c r="V52" s="256">
        <f t="shared" si="1"/>
        <v>29471.801999999996</v>
      </c>
      <c r="W52" s="258"/>
      <c r="X52" s="261"/>
      <c r="Y52" s="266"/>
      <c r="Z52" s="293"/>
    </row>
    <row r="53" spans="1:26" ht="13.5" thickBot="1">
      <c r="A53" s="138"/>
      <c r="B53" s="139"/>
      <c r="C53" s="140"/>
      <c r="D53" s="141"/>
      <c r="E53" s="142"/>
      <c r="F53" s="16"/>
      <c r="G53" s="143"/>
      <c r="H53" s="144" t="s">
        <v>78</v>
      </c>
      <c r="I53" s="144" t="s">
        <v>79</v>
      </c>
      <c r="J53" s="144" t="s">
        <v>80</v>
      </c>
      <c r="K53" s="144" t="s">
        <v>81</v>
      </c>
      <c r="L53" s="144" t="s">
        <v>82</v>
      </c>
      <c r="M53" s="236" t="s">
        <v>83</v>
      </c>
      <c r="N53" s="144" t="s">
        <v>84</v>
      </c>
      <c r="O53" s="144" t="s">
        <v>85</v>
      </c>
      <c r="P53" s="144" t="s">
        <v>86</v>
      </c>
      <c r="Q53" s="144" t="s">
        <v>87</v>
      </c>
      <c r="R53" s="251"/>
      <c r="S53" s="256"/>
      <c r="T53" s="271">
        <f t="shared" si="2"/>
        <v>73.67950499999999</v>
      </c>
      <c r="U53" s="270">
        <f>T53+U52</f>
        <v>2529.663005</v>
      </c>
      <c r="V53" s="256">
        <f t="shared" si="1"/>
        <v>30355.956059999997</v>
      </c>
      <c r="W53" s="258"/>
      <c r="X53" s="261"/>
      <c r="Y53" s="266"/>
      <c r="Z53" s="293"/>
    </row>
    <row r="54" spans="1:26" ht="13.5" thickBot="1">
      <c r="A54" s="145" t="s">
        <v>88</v>
      </c>
      <c r="B54" s="146"/>
      <c r="C54" s="147" t="e">
        <f>C38+C40+C52</f>
        <v>#REF!</v>
      </c>
      <c r="D54" s="136" t="s">
        <v>14</v>
      </c>
      <c r="E54" s="148" t="e">
        <f>SUM(E38:E51)</f>
        <v>#REF!</v>
      </c>
      <c r="F54" s="149" t="e">
        <f>E54/$E$54</f>
        <v>#REF!</v>
      </c>
      <c r="G54" s="150" t="s">
        <v>146</v>
      </c>
      <c r="H54" s="151" t="e">
        <f>-I36-I37-I39</f>
        <v>#REF!</v>
      </c>
      <c r="I54" s="152" t="e">
        <f>H55*I71</f>
        <v>#REF!</v>
      </c>
      <c r="J54" s="152" t="e">
        <f>H55*J71</f>
        <v>#REF!</v>
      </c>
      <c r="K54" s="152" t="e">
        <f>H55*K71</f>
        <v>#REF!</v>
      </c>
      <c r="L54" s="152" t="e">
        <f>H55*L71</f>
        <v>#REF!</v>
      </c>
      <c r="M54" s="234" t="e">
        <f>H55*M71</f>
        <v>#REF!</v>
      </c>
      <c r="N54" s="152" t="e">
        <f>H55*N71</f>
        <v>#REF!</v>
      </c>
      <c r="O54" s="152" t="e">
        <f>H55*O71</f>
        <v>#REF!</v>
      </c>
      <c r="P54" s="152" t="e">
        <f>H55*P71</f>
        <v>#REF!</v>
      </c>
      <c r="Q54" s="152" t="e">
        <f>H55*(Q71+Q78)</f>
        <v>#REF!</v>
      </c>
      <c r="R54" s="152"/>
      <c r="S54" s="256"/>
      <c r="T54" s="271">
        <f t="shared" si="2"/>
        <v>75.88989015</v>
      </c>
      <c r="U54" s="270">
        <f aca="true" t="shared" si="3" ref="U54:U60">U53+T54</f>
        <v>2605.55289515</v>
      </c>
      <c r="V54" s="256">
        <f t="shared" si="1"/>
        <v>31266.6347418</v>
      </c>
      <c r="W54" s="272"/>
      <c r="X54" s="273"/>
      <c r="Y54" s="266"/>
      <c r="Z54" s="293"/>
    </row>
    <row r="55" spans="1:26" ht="12.75">
      <c r="A55" s="153"/>
      <c r="B55" s="17"/>
      <c r="C55" s="154"/>
      <c r="D55" s="154"/>
      <c r="E55" s="155"/>
      <c r="G55" s="156"/>
      <c r="H55" s="157" t="e">
        <f>H54/-G81</f>
        <v>#REF!</v>
      </c>
      <c r="I55" s="158" t="e">
        <f>I54/H54</f>
        <v>#REF!</v>
      </c>
      <c r="J55" s="158" t="e">
        <f>J54/H54</f>
        <v>#REF!</v>
      </c>
      <c r="K55" s="158" t="e">
        <f>K54/H54</f>
        <v>#REF!</v>
      </c>
      <c r="L55" s="158" t="e">
        <f>L54/H54</f>
        <v>#REF!</v>
      </c>
      <c r="M55" s="235" t="e">
        <f>M54/H54</f>
        <v>#REF!</v>
      </c>
      <c r="N55" s="158" t="e">
        <f>N54/H54</f>
        <v>#REF!</v>
      </c>
      <c r="O55" s="158" t="e">
        <f>O54/H54</f>
        <v>#REF!</v>
      </c>
      <c r="P55" s="158" t="e">
        <f>P54/H54</f>
        <v>#REF!</v>
      </c>
      <c r="Q55" s="158" t="e">
        <f>Q54/H54</f>
        <v>#REF!</v>
      </c>
      <c r="R55" s="158"/>
      <c r="S55" s="274"/>
      <c r="T55" s="275">
        <f t="shared" si="2"/>
        <v>78.1665868545</v>
      </c>
      <c r="U55" s="270">
        <f t="shared" si="3"/>
        <v>2683.7194820045</v>
      </c>
      <c r="V55" s="256">
        <f t="shared" si="1"/>
        <v>32204.633784054</v>
      </c>
      <c r="W55" s="272"/>
      <c r="X55" s="273"/>
      <c r="Y55" s="266"/>
      <c r="Z55" s="293"/>
    </row>
    <row r="56" spans="1:26" ht="12.75">
      <c r="A56" s="4" t="s">
        <v>89</v>
      </c>
      <c r="B56" s="4"/>
      <c r="C56" s="4"/>
      <c r="D56" s="4"/>
      <c r="E56" s="4"/>
      <c r="G56" s="159" t="s">
        <v>147</v>
      </c>
      <c r="H56" s="151">
        <v>300000</v>
      </c>
      <c r="I56" s="160" t="e">
        <f>H57*I71</f>
        <v>#REF!</v>
      </c>
      <c r="J56" s="160" t="e">
        <f>H57*J71</f>
        <v>#REF!</v>
      </c>
      <c r="K56" s="160" t="e">
        <f>H57*K71</f>
        <v>#REF!</v>
      </c>
      <c r="L56" s="160" t="e">
        <f>H57*L71</f>
        <v>#REF!</v>
      </c>
      <c r="M56" s="235" t="e">
        <f>H57*M71</f>
        <v>#REF!</v>
      </c>
      <c r="N56" s="160" t="e">
        <f>H57*N71</f>
        <v>#REF!</v>
      </c>
      <c r="O56" s="160" t="e">
        <f>O71*H57</f>
        <v>#REF!</v>
      </c>
      <c r="P56" s="160" t="e">
        <f>H57*P71</f>
        <v>#REF!</v>
      </c>
      <c r="Q56" s="160" t="e">
        <f>H57*(Q71+Q78)</f>
        <v>#REF!</v>
      </c>
      <c r="R56" s="160"/>
      <c r="S56" s="274"/>
      <c r="T56" s="275">
        <f t="shared" si="2"/>
        <v>80.511584460135</v>
      </c>
      <c r="U56" s="270">
        <f t="shared" si="3"/>
        <v>2764.231066464635</v>
      </c>
      <c r="V56" s="256">
        <f t="shared" si="1"/>
        <v>33170.77279757562</v>
      </c>
      <c r="W56" s="272"/>
      <c r="X56" s="273"/>
      <c r="Y56" s="266"/>
      <c r="Z56" s="293"/>
    </row>
    <row r="57" spans="1:26" ht="12.75">
      <c r="A57" s="16" t="s">
        <v>90</v>
      </c>
      <c r="B57" s="7"/>
      <c r="C57" s="161">
        <f>B26</f>
        <v>28</v>
      </c>
      <c r="D57" s="162"/>
      <c r="E57" s="163">
        <f>SUM(D10:D15)*12</f>
        <v>141156</v>
      </c>
      <c r="F57" s="86"/>
      <c r="G57" s="159"/>
      <c r="H57" s="157" t="e">
        <f>H56/-G81</f>
        <v>#REF!</v>
      </c>
      <c r="I57" s="164" t="e">
        <f>I56/H56</f>
        <v>#REF!</v>
      </c>
      <c r="J57" s="164" t="e">
        <f>J56/H56</f>
        <v>#REF!</v>
      </c>
      <c r="K57" s="164" t="e">
        <f>K56/H56</f>
        <v>#REF!</v>
      </c>
      <c r="L57" s="164" t="e">
        <f>L56/H56</f>
        <v>#REF!</v>
      </c>
      <c r="M57" s="237" t="e">
        <f>M56/H56</f>
        <v>#REF!</v>
      </c>
      <c r="N57" s="164" t="e">
        <f>N56/H56</f>
        <v>#REF!</v>
      </c>
      <c r="O57" s="164" t="e">
        <f>O56/H56</f>
        <v>#REF!</v>
      </c>
      <c r="P57" s="164" t="e">
        <f>P56/H56</f>
        <v>#REF!</v>
      </c>
      <c r="Q57" s="164" t="e">
        <f>Q56/H56</f>
        <v>#REF!</v>
      </c>
      <c r="R57" s="164"/>
      <c r="S57" s="274"/>
      <c r="T57" s="275">
        <f t="shared" si="2"/>
        <v>82.92693199393905</v>
      </c>
      <c r="U57" s="270">
        <f t="shared" si="3"/>
        <v>2847.157998458574</v>
      </c>
      <c r="V57" s="256">
        <f t="shared" si="1"/>
        <v>34165.895981502894</v>
      </c>
      <c r="W57" s="272"/>
      <c r="X57" s="273"/>
      <c r="Y57" s="266"/>
      <c r="Z57" s="293"/>
    </row>
    <row r="58" spans="1:26" ht="12.75">
      <c r="A58" s="16" t="s">
        <v>91</v>
      </c>
      <c r="B58" s="17"/>
      <c r="C58" s="165">
        <f>B27</f>
        <v>23</v>
      </c>
      <c r="D58" s="17"/>
      <c r="E58" s="166">
        <f>D8*12</f>
        <v>46608</v>
      </c>
      <c r="F58" s="17"/>
      <c r="G58" s="159" t="s">
        <v>147</v>
      </c>
      <c r="H58" s="151">
        <v>100000</v>
      </c>
      <c r="I58" s="160" t="e">
        <f>H59*I71</f>
        <v>#REF!</v>
      </c>
      <c r="J58" s="160" t="e">
        <f>H59*J71</f>
        <v>#REF!</v>
      </c>
      <c r="K58" s="160" t="e">
        <f>H59*K71</f>
        <v>#REF!</v>
      </c>
      <c r="L58" s="160" t="e">
        <f>H59*L71</f>
        <v>#REF!</v>
      </c>
      <c r="M58" s="235" t="e">
        <f>H59*M71</f>
        <v>#REF!</v>
      </c>
      <c r="N58" s="160" t="e">
        <f>H59*N71</f>
        <v>#REF!</v>
      </c>
      <c r="O58" s="160" t="e">
        <f>H59*O71</f>
        <v>#REF!</v>
      </c>
      <c r="P58" s="160" t="e">
        <f>P71*H59</f>
        <v>#REF!</v>
      </c>
      <c r="Q58" s="160" t="e">
        <f>H59*(Q71+Q78)</f>
        <v>#REF!</v>
      </c>
      <c r="R58" s="160"/>
      <c r="S58" s="276"/>
      <c r="T58" s="275">
        <f t="shared" si="2"/>
        <v>85.41473995375722</v>
      </c>
      <c r="U58" s="270">
        <f t="shared" si="3"/>
        <v>2932.5727384123315</v>
      </c>
      <c r="V58" s="256">
        <f t="shared" si="1"/>
        <v>35190.87286094798</v>
      </c>
      <c r="W58" s="272"/>
      <c r="X58" s="273"/>
      <c r="Y58" s="266"/>
      <c r="Z58" s="293"/>
    </row>
    <row r="59" spans="1:26" ht="12.75">
      <c r="A59" s="167" t="s">
        <v>92</v>
      </c>
      <c r="B59" s="17"/>
      <c r="C59" s="165">
        <f>B28</f>
        <v>32</v>
      </c>
      <c r="D59" s="168"/>
      <c r="E59" s="166">
        <f>D16*12</f>
        <v>27780</v>
      </c>
      <c r="H59" s="157" t="e">
        <f>H58/-G81</f>
        <v>#REF!</v>
      </c>
      <c r="I59" s="158" t="e">
        <f>I58/H58</f>
        <v>#REF!</v>
      </c>
      <c r="J59" s="158" t="e">
        <f>J58/H58</f>
        <v>#REF!</v>
      </c>
      <c r="K59" s="158" t="e">
        <f>K58/H58</f>
        <v>#REF!</v>
      </c>
      <c r="L59" s="158" t="e">
        <f>L58/H58</f>
        <v>#REF!</v>
      </c>
      <c r="M59" s="235" t="e">
        <f>M58/H58</f>
        <v>#REF!</v>
      </c>
      <c r="N59" s="158" t="e">
        <f>N58/H58</f>
        <v>#REF!</v>
      </c>
      <c r="O59" s="158" t="e">
        <f>O58/H58</f>
        <v>#REF!</v>
      </c>
      <c r="P59" s="158" t="e">
        <f>P58/H58</f>
        <v>#REF!</v>
      </c>
      <c r="Q59" s="158" t="e">
        <f>Q58/H58</f>
        <v>#REF!</v>
      </c>
      <c r="R59" s="158"/>
      <c r="S59" s="277"/>
      <c r="T59" s="275">
        <f t="shared" si="2"/>
        <v>87.97718215236995</v>
      </c>
      <c r="U59" s="270">
        <f t="shared" si="3"/>
        <v>3020.5499205647016</v>
      </c>
      <c r="V59" s="256">
        <f t="shared" si="1"/>
        <v>36246.59904677642</v>
      </c>
      <c r="W59" s="272"/>
      <c r="X59" s="273"/>
      <c r="Y59" s="266"/>
      <c r="Z59" s="293"/>
    </row>
    <row r="60" spans="1:26" ht="13.5" thickBot="1">
      <c r="A60" s="16" t="s">
        <v>93</v>
      </c>
      <c r="C60" s="165">
        <f>C9</f>
        <v>0</v>
      </c>
      <c r="D60" t="s">
        <v>94</v>
      </c>
      <c r="E60" s="166">
        <f>C60*12</f>
        <v>0</v>
      </c>
      <c r="G60" s="159" t="s">
        <v>147</v>
      </c>
      <c r="H60" s="151">
        <v>100000</v>
      </c>
      <c r="I60" s="152" t="e">
        <f>H61*I71</f>
        <v>#REF!</v>
      </c>
      <c r="J60" s="160" t="e">
        <f>H61*J71</f>
        <v>#REF!</v>
      </c>
      <c r="K60" s="160" t="e">
        <f>H61*K71</f>
        <v>#REF!</v>
      </c>
      <c r="L60" s="160" t="e">
        <f>H61*L71</f>
        <v>#REF!</v>
      </c>
      <c r="M60" s="235" t="e">
        <f>H61*M71</f>
        <v>#REF!</v>
      </c>
      <c r="N60" s="160" t="e">
        <f>H61*N71</f>
        <v>#REF!</v>
      </c>
      <c r="O60" s="160" t="e">
        <f>H61*O71</f>
        <v>#REF!</v>
      </c>
      <c r="P60" s="160" t="e">
        <f>P71*H61</f>
        <v>#REF!</v>
      </c>
      <c r="Q60" s="160" t="e">
        <f>H61*(Q71+Q78)</f>
        <v>#REF!</v>
      </c>
      <c r="R60" s="160"/>
      <c r="S60" s="273"/>
      <c r="T60" s="275">
        <f t="shared" si="2"/>
        <v>90.61649761694105</v>
      </c>
      <c r="U60" s="270">
        <f t="shared" si="3"/>
        <v>3111.1664181816427</v>
      </c>
      <c r="V60" s="256">
        <f t="shared" si="1"/>
        <v>37333.99701817971</v>
      </c>
      <c r="W60" s="272"/>
      <c r="X60" s="273"/>
      <c r="Y60" s="266"/>
      <c r="Z60" s="295"/>
    </row>
    <row r="61" spans="1:26" ht="13.5" thickBot="1">
      <c r="A61" s="5"/>
      <c r="E61" s="27"/>
      <c r="G61" s="159"/>
      <c r="H61" s="157" t="e">
        <f>H60/-G81</f>
        <v>#REF!</v>
      </c>
      <c r="I61" s="158" t="e">
        <f>I60/H60</f>
        <v>#REF!</v>
      </c>
      <c r="J61" s="158" t="e">
        <f>J60/H60</f>
        <v>#REF!</v>
      </c>
      <c r="K61" s="158" t="e">
        <f>K60/H60</f>
        <v>#REF!</v>
      </c>
      <c r="L61" s="158" t="e">
        <f>L60/H60</f>
        <v>#REF!</v>
      </c>
      <c r="M61" s="235" t="e">
        <f>M60/H60</f>
        <v>#REF!</v>
      </c>
      <c r="N61" s="158" t="e">
        <f>N60/H60</f>
        <v>#REF!</v>
      </c>
      <c r="O61" s="158" t="e">
        <f>O60/H60</f>
        <v>#REF!</v>
      </c>
      <c r="P61" s="158" t="e">
        <f>P60/H60</f>
        <v>#REF!</v>
      </c>
      <c r="Q61" s="158" t="e">
        <f>Q60/H60</f>
        <v>#REF!</v>
      </c>
      <c r="R61" s="158"/>
      <c r="S61" s="278"/>
      <c r="T61" s="294"/>
      <c r="U61" s="279"/>
      <c r="V61" s="279"/>
      <c r="W61" s="280">
        <f>SUM(W12:W50)</f>
        <v>1</v>
      </c>
      <c r="X61" s="280">
        <f>SUM(X12:X50)</f>
        <v>0.9999999999999998</v>
      </c>
      <c r="Y61" s="280">
        <f>SUM(Y12:Y50)</f>
        <v>1</v>
      </c>
      <c r="Z61" s="281">
        <f>SUM(Z12:Z50)</f>
        <v>1</v>
      </c>
    </row>
    <row r="62" spans="1:19" ht="12.75">
      <c r="A62" s="57" t="s">
        <v>95</v>
      </c>
      <c r="D62" s="86">
        <f>SUM(E57:E61)</f>
        <v>215544</v>
      </c>
      <c r="E62" s="27"/>
      <c r="F62">
        <f>17522*12</f>
        <v>210264</v>
      </c>
      <c r="G62" s="159" t="s">
        <v>96</v>
      </c>
      <c r="H62" s="151">
        <v>0</v>
      </c>
      <c r="I62" s="160" t="e">
        <f>H63*I71</f>
        <v>#REF!</v>
      </c>
      <c r="J62" s="160" t="e">
        <f>H63*J71</f>
        <v>#REF!</v>
      </c>
      <c r="K62" s="160" t="e">
        <f>H63*K71</f>
        <v>#REF!</v>
      </c>
      <c r="L62" s="160" t="e">
        <f>H63*L71</f>
        <v>#REF!</v>
      </c>
      <c r="M62" s="235" t="e">
        <f>H63*M71</f>
        <v>#REF!</v>
      </c>
      <c r="N62" s="160" t="e">
        <f>H63*N71</f>
        <v>#REF!</v>
      </c>
      <c r="O62" s="160" t="e">
        <f>H63*O71</f>
        <v>#REF!</v>
      </c>
      <c r="P62" s="160" t="e">
        <f>P71*H63</f>
        <v>#REF!</v>
      </c>
      <c r="Q62" s="160" t="e">
        <f>H63*(Q71+Q78)</f>
        <v>#REF!</v>
      </c>
      <c r="R62" s="160"/>
      <c r="S62" s="5"/>
    </row>
    <row r="63" spans="1:22" ht="12.75">
      <c r="A63" s="153" t="s">
        <v>97</v>
      </c>
      <c r="B63" s="14"/>
      <c r="C63" s="170">
        <v>0.05</v>
      </c>
      <c r="D63" s="170"/>
      <c r="E63" s="171">
        <f>-C63*D62</f>
        <v>-10777.2</v>
      </c>
      <c r="G63" s="159"/>
      <c r="H63" s="157" t="e">
        <f>H62/-G81</f>
        <v>#REF!</v>
      </c>
      <c r="I63" s="164" t="e">
        <f>I62/H62</f>
        <v>#REF!</v>
      </c>
      <c r="J63" s="164" t="e">
        <f>J62/H62</f>
        <v>#REF!</v>
      </c>
      <c r="K63" s="164" t="e">
        <f>K62/H62</f>
        <v>#REF!</v>
      </c>
      <c r="L63" s="164" t="e">
        <f>L62/H62</f>
        <v>#REF!</v>
      </c>
      <c r="M63" s="237" t="e">
        <f>M62/H62</f>
        <v>#REF!</v>
      </c>
      <c r="N63" s="164" t="e">
        <f>N62/H62</f>
        <v>#REF!</v>
      </c>
      <c r="O63" s="164" t="e">
        <f>O62/H62</f>
        <v>#REF!</v>
      </c>
      <c r="P63" s="164" t="e">
        <f>P62/H62</f>
        <v>#REF!</v>
      </c>
      <c r="Q63" s="164" t="e">
        <f>Q62/H62</f>
        <v>#REF!</v>
      </c>
      <c r="R63" s="164"/>
      <c r="S63" s="5"/>
      <c r="V63" s="100"/>
    </row>
    <row r="64" spans="1:5" ht="12.75">
      <c r="A64" s="16" t="s">
        <v>98</v>
      </c>
      <c r="B64" s="17"/>
      <c r="C64" s="154" t="s">
        <v>29</v>
      </c>
      <c r="D64" s="172">
        <f>D65</f>
        <v>0</v>
      </c>
      <c r="E64" s="166">
        <v>-4850</v>
      </c>
    </row>
    <row r="65" spans="1:18" ht="12.75">
      <c r="A65" s="30"/>
      <c r="B65" s="5"/>
      <c r="C65" s="173"/>
      <c r="D65" s="172"/>
      <c r="E65" s="166"/>
      <c r="G65" s="174"/>
      <c r="H65" s="175" t="s">
        <v>78</v>
      </c>
      <c r="I65" s="175" t="s">
        <v>79</v>
      </c>
      <c r="J65" s="175" t="s">
        <v>80</v>
      </c>
      <c r="K65" s="175" t="s">
        <v>81</v>
      </c>
      <c r="L65" s="175" t="s">
        <v>82</v>
      </c>
      <c r="M65" s="238" t="s">
        <v>83</v>
      </c>
      <c r="N65" s="175" t="s">
        <v>84</v>
      </c>
      <c r="O65" s="175" t="s">
        <v>85</v>
      </c>
      <c r="P65" s="175" t="s">
        <v>86</v>
      </c>
      <c r="Q65" s="175" t="s">
        <v>87</v>
      </c>
      <c r="R65" s="252"/>
    </row>
    <row r="66" spans="1:19" ht="12.75">
      <c r="A66" s="16" t="s">
        <v>99</v>
      </c>
      <c r="B66" s="17"/>
      <c r="C66" s="176" t="s">
        <v>29</v>
      </c>
      <c r="D66" s="177">
        <f>-2.25*E23</f>
        <v>-17851.5</v>
      </c>
      <c r="E66" s="166">
        <v>0</v>
      </c>
      <c r="G66" s="178" t="s">
        <v>100</v>
      </c>
      <c r="H66" s="179">
        <f>D62</f>
        <v>215544</v>
      </c>
      <c r="I66" s="179">
        <f aca="true" t="shared" si="4" ref="I66:Q66">H66*1.03</f>
        <v>222010.32</v>
      </c>
      <c r="J66" s="179">
        <f t="shared" si="4"/>
        <v>228670.62960000001</v>
      </c>
      <c r="K66" s="179">
        <f t="shared" si="4"/>
        <v>235530.748488</v>
      </c>
      <c r="L66" s="179">
        <f t="shared" si="4"/>
        <v>242596.67094264002</v>
      </c>
      <c r="M66" s="239">
        <f t="shared" si="4"/>
        <v>249874.57107091922</v>
      </c>
      <c r="N66" s="179">
        <f t="shared" si="4"/>
        <v>257370.8082030468</v>
      </c>
      <c r="O66" s="179">
        <f t="shared" si="4"/>
        <v>265091.9324491382</v>
      </c>
      <c r="P66" s="179">
        <f t="shared" si="4"/>
        <v>273044.69042261236</v>
      </c>
      <c r="Q66" s="179">
        <f t="shared" si="4"/>
        <v>281236.03113529074</v>
      </c>
      <c r="R66" s="253"/>
      <c r="S66" s="204"/>
    </row>
    <row r="67" spans="1:18" ht="12.75">
      <c r="A67" s="16"/>
      <c r="B67" s="17"/>
      <c r="C67" s="180"/>
      <c r="D67" s="181"/>
      <c r="E67" s="166"/>
      <c r="G67" s="87" t="s">
        <v>101</v>
      </c>
      <c r="H67" s="182">
        <f>E74</f>
        <v>-37181.600000000006</v>
      </c>
      <c r="I67" s="182">
        <f aca="true" t="shared" si="5" ref="I67:Q67">H67*1.03</f>
        <v>-38297.04800000001</v>
      </c>
      <c r="J67" s="182">
        <f t="shared" si="5"/>
        <v>-39445.95944000001</v>
      </c>
      <c r="K67" s="182">
        <f t="shared" si="5"/>
        <v>-40629.338223200015</v>
      </c>
      <c r="L67" s="182">
        <f t="shared" si="5"/>
        <v>-41848.218369896014</v>
      </c>
      <c r="M67" s="240">
        <f t="shared" si="5"/>
        <v>-43103.664920992895</v>
      </c>
      <c r="N67" s="182">
        <f t="shared" si="5"/>
        <v>-44396.774868622684</v>
      </c>
      <c r="O67" s="182">
        <f t="shared" si="5"/>
        <v>-45728.67811468137</v>
      </c>
      <c r="P67" s="182">
        <f t="shared" si="5"/>
        <v>-47100.53845812181</v>
      </c>
      <c r="Q67" s="182">
        <f t="shared" si="5"/>
        <v>-48513.55461186547</v>
      </c>
      <c r="R67" s="253"/>
    </row>
    <row r="68" spans="1:18" ht="12.75">
      <c r="A68" s="16" t="s">
        <v>102</v>
      </c>
      <c r="B68" s="17"/>
      <c r="C68" s="184" t="s">
        <v>29</v>
      </c>
      <c r="D68" s="185">
        <v>0</v>
      </c>
      <c r="E68" s="166">
        <v>0</v>
      </c>
      <c r="G68" s="186"/>
      <c r="H68" s="187"/>
      <c r="I68" s="187"/>
      <c r="J68" s="187"/>
      <c r="K68" s="187"/>
      <c r="L68" s="187"/>
      <c r="M68" s="241"/>
      <c r="N68" s="187"/>
      <c r="O68" s="187"/>
      <c r="P68" s="187"/>
      <c r="Q68" s="182"/>
      <c r="R68" s="253"/>
    </row>
    <row r="69" spans="1:18" ht="12.75">
      <c r="A69" s="153" t="s">
        <v>103</v>
      </c>
      <c r="B69" s="14"/>
      <c r="C69" s="188" t="s">
        <v>29</v>
      </c>
      <c r="D69" s="189">
        <v>0</v>
      </c>
      <c r="E69" s="171">
        <v>0</v>
      </c>
      <c r="G69" s="87" t="s">
        <v>104</v>
      </c>
      <c r="H69" s="182">
        <f>H66+H67</f>
        <v>178362.4</v>
      </c>
      <c r="I69" s="182">
        <f>SUM(I66:I68)</f>
        <v>183713.272</v>
      </c>
      <c r="J69" s="182">
        <f>SUM(J66:J68)-E67/2</f>
        <v>189224.67016</v>
      </c>
      <c r="K69" s="182">
        <f>SUM(K66:K68)-E67/2</f>
        <v>194901.4102648</v>
      </c>
      <c r="L69" s="182">
        <f>SUM(L66:L68)-E67/2</f>
        <v>200748.452572744</v>
      </c>
      <c r="M69" s="240">
        <f>SUM(M66:M68)-E67</f>
        <v>206770.90614992633</v>
      </c>
      <c r="N69" s="182">
        <f>SUM(N66:N68)-E67</f>
        <v>212974.0333344241</v>
      </c>
      <c r="O69" s="182">
        <f>SUM(O66:O68)-E67</f>
        <v>219363.25433445684</v>
      </c>
      <c r="P69" s="182">
        <f>SUM(P66:P68)-E67</f>
        <v>225944.15196449053</v>
      </c>
      <c r="Q69" s="190">
        <f>SUM(Q66:Q68)-E67</f>
        <v>232722.47652342528</v>
      </c>
      <c r="R69" s="253"/>
    </row>
    <row r="70" spans="1:18" ht="12.75">
      <c r="A70" s="16" t="s">
        <v>105</v>
      </c>
      <c r="B70" s="17"/>
      <c r="C70" s="44">
        <v>0.02</v>
      </c>
      <c r="D70" s="181"/>
      <c r="E70" s="166">
        <f>-C70*D62</f>
        <v>-4310.88</v>
      </c>
      <c r="G70" s="186" t="s">
        <v>106</v>
      </c>
      <c r="H70" s="187">
        <f>I47</f>
        <v>-124390.9554007334</v>
      </c>
      <c r="I70" s="187">
        <f>H70</f>
        <v>-124390.9554007334</v>
      </c>
      <c r="J70" s="187">
        <f>I47+I48</f>
        <v>-124390.9554007334</v>
      </c>
      <c r="K70" s="187">
        <f aca="true" t="shared" si="6" ref="K70:Q70">J70</f>
        <v>-124390.9554007334</v>
      </c>
      <c r="L70" s="187">
        <f t="shared" si="6"/>
        <v>-124390.9554007334</v>
      </c>
      <c r="M70" s="241">
        <f t="shared" si="6"/>
        <v>-124390.9554007334</v>
      </c>
      <c r="N70" s="187">
        <f t="shared" si="6"/>
        <v>-124390.9554007334</v>
      </c>
      <c r="O70" s="187">
        <f t="shared" si="6"/>
        <v>-124390.9554007334</v>
      </c>
      <c r="P70" s="187">
        <f t="shared" si="6"/>
        <v>-124390.9554007334</v>
      </c>
      <c r="Q70" s="191">
        <f t="shared" si="6"/>
        <v>-124390.9554007334</v>
      </c>
      <c r="R70" s="253"/>
    </row>
    <row r="71" spans="1:18" ht="12.75">
      <c r="A71" s="16" t="s">
        <v>107</v>
      </c>
      <c r="B71" s="17"/>
      <c r="C71" s="44">
        <v>0.02</v>
      </c>
      <c r="D71" s="181"/>
      <c r="E71" s="166">
        <f>-C71*D62</f>
        <v>-4310.88</v>
      </c>
      <c r="F71" s="192"/>
      <c r="G71" s="87" t="s">
        <v>72</v>
      </c>
      <c r="H71" s="183">
        <f aca="true" t="shared" si="7" ref="H71:Q71">H69+H70</f>
        <v>53971.4445992666</v>
      </c>
      <c r="I71" s="193">
        <f t="shared" si="7"/>
        <v>59322.3165992666</v>
      </c>
      <c r="J71" s="183">
        <f t="shared" si="7"/>
        <v>64833.714759266615</v>
      </c>
      <c r="K71" s="183">
        <f t="shared" si="7"/>
        <v>70510.45486406662</v>
      </c>
      <c r="L71" s="183">
        <f t="shared" si="7"/>
        <v>76357.4971720106</v>
      </c>
      <c r="M71" s="242">
        <f t="shared" si="7"/>
        <v>82379.95074919294</v>
      </c>
      <c r="N71" s="183">
        <f t="shared" si="7"/>
        <v>88583.07793369071</v>
      </c>
      <c r="O71" s="183">
        <f t="shared" si="7"/>
        <v>94972.29893372345</v>
      </c>
      <c r="P71" s="183">
        <f t="shared" si="7"/>
        <v>101553.19656375714</v>
      </c>
      <c r="Q71" s="183">
        <f t="shared" si="7"/>
        <v>108331.52112269189</v>
      </c>
      <c r="R71" s="253"/>
    </row>
    <row r="72" spans="1:18" ht="12.75">
      <c r="A72" s="30" t="s">
        <v>108</v>
      </c>
      <c r="B72" s="5"/>
      <c r="C72" s="194"/>
      <c r="D72" s="181"/>
      <c r="E72" s="166">
        <v>0</v>
      </c>
      <c r="G72" s="186"/>
      <c r="H72" s="195"/>
      <c r="I72" s="195"/>
      <c r="J72" s="195"/>
      <c r="K72" s="195"/>
      <c r="L72" s="195"/>
      <c r="M72" s="243"/>
      <c r="N72" s="195"/>
      <c r="O72" s="195"/>
      <c r="P72" s="195"/>
      <c r="Q72" s="195"/>
      <c r="R72" s="232"/>
    </row>
    <row r="73" spans="1:18" ht="13.5" thickBot="1">
      <c r="A73" s="196" t="s">
        <v>109</v>
      </c>
      <c r="B73" s="197"/>
      <c r="C73" s="198">
        <v>0.06</v>
      </c>
      <c r="D73" s="199"/>
      <c r="E73" s="200">
        <f>-C73*D62</f>
        <v>-12932.64</v>
      </c>
      <c r="F73" s="86"/>
      <c r="G73" s="201" t="s">
        <v>110</v>
      </c>
      <c r="H73" s="202">
        <f aca="true" t="shared" si="8" ref="H73:Q73">-H69/H70</f>
        <v>1.4338856022561621</v>
      </c>
      <c r="I73" s="203">
        <f t="shared" si="8"/>
        <v>1.476902170323847</v>
      </c>
      <c r="J73" s="203">
        <f t="shared" si="8"/>
        <v>1.5212092354335625</v>
      </c>
      <c r="K73" s="203">
        <f t="shared" si="8"/>
        <v>1.5668455124965692</v>
      </c>
      <c r="L73" s="203">
        <f t="shared" si="8"/>
        <v>1.6138508778714662</v>
      </c>
      <c r="M73" s="244">
        <f t="shared" si="8"/>
        <v>1.6622664042076103</v>
      </c>
      <c r="N73" s="203">
        <f t="shared" si="8"/>
        <v>1.7121343963338387</v>
      </c>
      <c r="O73" s="203">
        <f t="shared" si="8"/>
        <v>1.7634984282238537</v>
      </c>
      <c r="P73" s="203">
        <f t="shared" si="8"/>
        <v>1.8164033810705693</v>
      </c>
      <c r="Q73" s="203">
        <f t="shared" si="8"/>
        <v>1.8708954825026867</v>
      </c>
      <c r="R73" s="254"/>
    </row>
    <row r="74" spans="1:18" ht="13.5" thickBot="1">
      <c r="A74" s="205" t="s">
        <v>111</v>
      </c>
      <c r="B74" s="206"/>
      <c r="C74" s="207">
        <f>-(E74/SUM(E57:E58))</f>
        <v>0.19802305021196825</v>
      </c>
      <c r="D74" s="207"/>
      <c r="E74" s="208">
        <f>SUM(E63:E73)</f>
        <v>-37181.600000000006</v>
      </c>
      <c r="G74" t="s">
        <v>112</v>
      </c>
      <c r="H74" s="209">
        <f>-H70+I47</f>
        <v>0</v>
      </c>
      <c r="I74" s="209">
        <v>0</v>
      </c>
      <c r="J74" s="209">
        <v>0</v>
      </c>
      <c r="K74" s="209">
        <v>0</v>
      </c>
      <c r="L74" s="209">
        <v>0</v>
      </c>
      <c r="M74" s="245">
        <v>0</v>
      </c>
      <c r="N74" s="209">
        <v>0</v>
      </c>
      <c r="O74" s="209">
        <v>0</v>
      </c>
      <c r="P74" s="209">
        <v>0</v>
      </c>
      <c r="Q74" s="209">
        <v>0</v>
      </c>
      <c r="R74" s="209"/>
    </row>
    <row r="75" spans="1:18" ht="12.75">
      <c r="A75" s="57" t="s">
        <v>113</v>
      </c>
      <c r="B75" s="56"/>
      <c r="E75" s="166">
        <v>0</v>
      </c>
      <c r="G75" s="201" t="s">
        <v>114</v>
      </c>
      <c r="H75" s="210">
        <f>I25</f>
        <v>2744036.9230769225</v>
      </c>
      <c r="I75" s="210">
        <f aca="true" t="shared" si="9" ref="I75:Q75">H75*1.03</f>
        <v>2826358.0307692303</v>
      </c>
      <c r="J75" s="210">
        <f t="shared" si="9"/>
        <v>2911148.771692307</v>
      </c>
      <c r="K75" s="210">
        <f t="shared" si="9"/>
        <v>2998483.2348430767</v>
      </c>
      <c r="L75" s="210">
        <f t="shared" si="9"/>
        <v>3088437.731888369</v>
      </c>
      <c r="M75" s="244">
        <f t="shared" si="9"/>
        <v>3181090.8638450205</v>
      </c>
      <c r="N75" s="210">
        <f t="shared" si="9"/>
        <v>3276523.589760371</v>
      </c>
      <c r="O75" s="210">
        <f t="shared" si="9"/>
        <v>3374819.2974531823</v>
      </c>
      <c r="P75" s="211">
        <f t="shared" si="9"/>
        <v>3476063.876376778</v>
      </c>
      <c r="Q75" s="212">
        <f t="shared" si="9"/>
        <v>3580345.7926680814</v>
      </c>
      <c r="R75" s="255"/>
    </row>
    <row r="76" spans="1:18" ht="12.75">
      <c r="A76" s="57" t="s">
        <v>115</v>
      </c>
      <c r="B76" s="56"/>
      <c r="E76" s="213">
        <f>E74/E23</f>
        <v>-4.686362490547014</v>
      </c>
      <c r="G76" s="214" t="s">
        <v>116</v>
      </c>
      <c r="H76" s="215"/>
      <c r="I76" s="216"/>
      <c r="J76" s="216"/>
      <c r="K76" s="216"/>
      <c r="L76" s="216"/>
      <c r="M76" s="246"/>
      <c r="N76" s="216"/>
      <c r="O76" s="216"/>
      <c r="P76" s="216"/>
      <c r="Q76" s="212">
        <f>Q75*0.93</f>
        <v>3329721.5871813158</v>
      </c>
      <c r="R76" s="255"/>
    </row>
    <row r="77" spans="1:18" ht="13.5" thickBot="1">
      <c r="A77" s="16"/>
      <c r="B77" s="17"/>
      <c r="E77" s="166"/>
      <c r="G77" s="217" t="s">
        <v>117</v>
      </c>
      <c r="H77" s="218"/>
      <c r="I77" s="219"/>
      <c r="J77" s="219"/>
      <c r="K77" s="219"/>
      <c r="L77" s="219"/>
      <c r="M77" s="247"/>
      <c r="N77" s="219"/>
      <c r="O77" s="219"/>
      <c r="P77" s="219"/>
      <c r="Q77" s="212" t="e">
        <f>#REF!</f>
        <v>#REF!</v>
      </c>
      <c r="R77" s="255"/>
    </row>
    <row r="78" spans="1:18" ht="13.5" thickBot="1">
      <c r="A78" s="145" t="s">
        <v>66</v>
      </c>
      <c r="B78" s="146"/>
      <c r="C78" s="134"/>
      <c r="D78" s="134"/>
      <c r="E78" s="220">
        <f>SUM(E57:E73)</f>
        <v>178362.39999999997</v>
      </c>
      <c r="G78" s="201" t="s">
        <v>118</v>
      </c>
      <c r="H78" s="221"/>
      <c r="Q78" s="212" t="e">
        <f>Q76-Q77</f>
        <v>#REF!</v>
      </c>
      <c r="R78" s="255"/>
    </row>
    <row r="79" spans="7:16" ht="12.75">
      <c r="G79" s="117"/>
      <c r="H79" s="51"/>
      <c r="I79" s="51"/>
      <c r="J79" s="169"/>
      <c r="K79" s="5"/>
      <c r="L79" s="5"/>
      <c r="M79" s="235"/>
      <c r="N79" s="5"/>
      <c r="O79" s="5"/>
      <c r="P79" s="5"/>
    </row>
    <row r="80" spans="7:18" ht="12.75">
      <c r="G80" s="222" t="s">
        <v>119</v>
      </c>
      <c r="H80" s="223" t="e">
        <f>IRR(G81:Q81)</f>
        <v>#VALUE!</v>
      </c>
      <c r="I80" s="223"/>
      <c r="J80" s="7"/>
      <c r="K80" s="7"/>
      <c r="L80" s="7"/>
      <c r="M80" s="248"/>
      <c r="N80" s="7"/>
      <c r="O80" s="7"/>
      <c r="P80" s="7"/>
      <c r="Q80" s="224"/>
      <c r="R80" s="17"/>
    </row>
    <row r="81" spans="7:18" ht="12.75">
      <c r="G81" s="225" t="e">
        <f>I37-I45+I36+I39</f>
        <v>#REF!</v>
      </c>
      <c r="H81" s="226">
        <f aca="true" t="shared" si="10" ref="H81:P81">H71</f>
        <v>53971.4445992666</v>
      </c>
      <c r="I81" s="226">
        <f t="shared" si="10"/>
        <v>59322.3165992666</v>
      </c>
      <c r="J81" s="226">
        <f t="shared" si="10"/>
        <v>64833.714759266615</v>
      </c>
      <c r="K81" s="226">
        <f t="shared" si="10"/>
        <v>70510.45486406662</v>
      </c>
      <c r="L81" s="226">
        <f t="shared" si="10"/>
        <v>76357.4971720106</v>
      </c>
      <c r="M81" s="249">
        <f t="shared" si="10"/>
        <v>82379.95074919294</v>
      </c>
      <c r="N81" s="226">
        <f t="shared" si="10"/>
        <v>88583.07793369071</v>
      </c>
      <c r="O81" s="226">
        <f t="shared" si="10"/>
        <v>94972.29893372345</v>
      </c>
      <c r="P81" s="226">
        <f t="shared" si="10"/>
        <v>101553.19656375714</v>
      </c>
      <c r="Q81" s="227" t="e">
        <f>Q71+Q78</f>
        <v>#REF!</v>
      </c>
      <c r="R81" s="209"/>
    </row>
    <row r="83" spans="1:7" ht="12.75">
      <c r="A83" s="117" t="s">
        <v>126</v>
      </c>
      <c r="G83" s="103"/>
    </row>
    <row r="84" ht="12.75">
      <c r="A84" s="283" t="s">
        <v>127</v>
      </c>
    </row>
    <row r="85" spans="1:9" ht="12.75">
      <c r="A85" s="283" t="s">
        <v>128</v>
      </c>
      <c r="G85" s="228"/>
      <c r="H85" s="229"/>
      <c r="I85" s="229"/>
    </row>
    <row r="86" spans="1:9" ht="12.75">
      <c r="A86" s="283" t="s">
        <v>129</v>
      </c>
      <c r="G86" s="51"/>
      <c r="H86" s="230"/>
      <c r="I86" s="158"/>
    </row>
    <row r="87" spans="7:9" ht="12.75">
      <c r="G87" s="51"/>
      <c r="H87" s="230"/>
      <c r="I87" s="158"/>
    </row>
    <row r="88" spans="7:9" ht="12.75">
      <c r="G88" s="51"/>
      <c r="H88" s="63"/>
      <c r="I88" s="231"/>
    </row>
    <row r="89" spans="7:9" ht="12.75">
      <c r="G89" s="5"/>
      <c r="H89" s="5"/>
      <c r="I89" s="5"/>
    </row>
  </sheetData>
  <sheetProtection selectLockedCells="1" selectUnlockedCells="1"/>
  <mergeCells count="14">
    <mergeCell ref="A1:I1"/>
    <mergeCell ref="A3:I3"/>
    <mergeCell ref="A5:E5"/>
    <mergeCell ref="G5:I5"/>
    <mergeCell ref="L5:N5"/>
    <mergeCell ref="S18:Z18"/>
    <mergeCell ref="S30:Z30"/>
    <mergeCell ref="S36:Z36"/>
    <mergeCell ref="S43:Z43"/>
    <mergeCell ref="S49:Z49"/>
    <mergeCell ref="S11:Z11"/>
    <mergeCell ref="G19:I19"/>
    <mergeCell ref="G33:I33"/>
    <mergeCell ref="S24:Z24"/>
  </mergeCells>
  <printOptions gridLines="1"/>
  <pageMargins left="0.5" right="0.5" top="0.4888888888888889" bottom="0.4409722222222222" header="0.5118055555555555" footer="0.5118055555555555"/>
  <pageSetup fitToHeight="1" fitToWidth="1" horizontalDpi="300" verticalDpi="300" orientation="portrait" scale="2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Cavenaugh</dc:creator>
  <cp:keywords/>
  <dc:description/>
  <cp:lastModifiedBy>Abby</cp:lastModifiedBy>
  <cp:lastPrinted>2015-02-12T23:59:02Z</cp:lastPrinted>
  <dcterms:created xsi:type="dcterms:W3CDTF">2015-01-09T20:50:21Z</dcterms:created>
  <dcterms:modified xsi:type="dcterms:W3CDTF">2021-05-21T21:00:46Z</dcterms:modified>
  <cp:category/>
  <cp:version/>
  <cp:contentType/>
  <cp:contentStatus/>
</cp:coreProperties>
</file>